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AEP West Trans\True Ups\2024 Annual Update\Filed Documents\"/>
    </mc:Choice>
  </mc:AlternateContent>
  <xr:revisionPtr revIDLastSave="0" documentId="8_{D00BEE45-1939-4A36-85AC-5C08D84F88A0}" xr6:coauthVersionLast="47" xr6:coauthVersionMax="47" xr10:uidLastSave="{00000000-0000-0000-0000-000000000000}"/>
  <bookViews>
    <workbookView xWindow="52680" yWindow="-120" windowWidth="24240" windowHeight="13020" activeTab="1" xr2:uid="{00000000-000D-0000-FFFF-FFFF00000000}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0">Instructions!$A$1:$R$18</definedName>
    <definedName name="_xlnm.Print_Area" localSheetId="1">Summary!$C$1:$I$40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 iterate="1"/>
  <pivotCaches>
    <pivotCache cacheId="67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9" l="1"/>
  <c r="L3" i="18" l="1"/>
  <c r="K1" i="18" l="1"/>
  <c r="B79" i="18"/>
  <c r="B78" i="18"/>
  <c r="B77" i="18"/>
  <c r="B76" i="18"/>
  <c r="B75" i="18"/>
  <c r="B74" i="18"/>
  <c r="B73" i="18"/>
  <c r="B72" i="18"/>
  <c r="B71" i="18"/>
  <c r="B70" i="18"/>
  <c r="B69" i="18"/>
  <c r="B68" i="18"/>
  <c r="C3" i="29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66" i="18" s="1"/>
  <c r="D38" i="18"/>
  <c r="D62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D175" i="18" s="1"/>
  <c r="B31" i="18"/>
  <c r="D42" i="18"/>
  <c r="D54" i="18" s="1"/>
  <c r="B30" i="18"/>
  <c r="D41" i="18"/>
  <c r="D65" i="18" s="1"/>
  <c r="B29" i="18"/>
  <c r="B28" i="18"/>
  <c r="C39" i="18"/>
  <c r="C51" i="18" s="1"/>
  <c r="D39" i="18"/>
  <c r="D51" i="18" s="1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55" i="18" s="1"/>
  <c r="B175" i="18"/>
  <c r="B174" i="18"/>
  <c r="B173" i="18"/>
  <c r="B172" i="18"/>
  <c r="B171" i="18"/>
  <c r="C38" i="18"/>
  <c r="C50" i="18" s="1"/>
  <c r="B170" i="18"/>
  <c r="C37" i="18"/>
  <c r="C49" i="18" s="1"/>
  <c r="B169" i="18"/>
  <c r="B168" i="18"/>
  <c r="B167" i="18"/>
  <c r="B166" i="18"/>
  <c r="C33" i="18"/>
  <c r="C45" i="18" s="1"/>
  <c r="B165" i="18"/>
  <c r="C32" i="18"/>
  <c r="C44" i="18" s="1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C52" i="18" s="1"/>
  <c r="D35" i="18"/>
  <c r="D59" i="18" s="1"/>
  <c r="D83" i="18" s="1"/>
  <c r="D95" i="18" s="1"/>
  <c r="D107" i="18" s="1"/>
  <c r="D119" i="18" s="1"/>
  <c r="D131" i="18" s="1"/>
  <c r="D143" i="18" s="1"/>
  <c r="D155" i="18" s="1"/>
  <c r="D37" i="18"/>
  <c r="D61" i="18" s="1"/>
  <c r="D40" i="18"/>
  <c r="D33" i="18"/>
  <c r="D45" i="18" s="1"/>
  <c r="D34" i="18"/>
  <c r="D58" i="18" s="1"/>
  <c r="H27" i="29"/>
  <c r="H22" i="29"/>
  <c r="G24" i="29"/>
  <c r="G37" i="29"/>
  <c r="H28" i="29"/>
  <c r="H36" i="29"/>
  <c r="G35" i="29"/>
  <c r="E21" i="29"/>
  <c r="E24" i="29"/>
  <c r="E27" i="29"/>
  <c r="E29" i="29"/>
  <c r="E23" i="29"/>
  <c r="G25" i="29"/>
  <c r="H30" i="29"/>
  <c r="E30" i="29"/>
  <c r="D35" i="29"/>
  <c r="H23" i="29"/>
  <c r="G32" i="29"/>
  <c r="H32" i="29"/>
  <c r="E35" i="29"/>
  <c r="G30" i="29"/>
  <c r="G31" i="29"/>
  <c r="G33" i="29"/>
  <c r="G29" i="29"/>
  <c r="H24" i="29"/>
  <c r="G22" i="29"/>
  <c r="G21" i="29"/>
  <c r="G26" i="29"/>
  <c r="E26" i="29"/>
  <c r="E31" i="29"/>
  <c r="H26" i="29"/>
  <c r="E28" i="29"/>
  <c r="G36" i="29"/>
  <c r="E32" i="29"/>
  <c r="E33" i="29"/>
  <c r="H21" i="29"/>
  <c r="E37" i="29"/>
  <c r="H25" i="29"/>
  <c r="H35" i="29"/>
  <c r="G23" i="29"/>
  <c r="D24" i="29"/>
  <c r="H33" i="29"/>
  <c r="E25" i="29"/>
  <c r="G27" i="29"/>
  <c r="G28" i="29"/>
  <c r="H31" i="29"/>
  <c r="E22" i="29"/>
  <c r="E36" i="29"/>
  <c r="H29" i="29"/>
  <c r="H37" i="29"/>
  <c r="C56" i="18" l="1"/>
  <c r="C80" i="18" s="1"/>
  <c r="C92" i="18" s="1"/>
  <c r="C104" i="18" s="1"/>
  <c r="C116" i="18" s="1"/>
  <c r="C128" i="18" s="1"/>
  <c r="C140" i="18" s="1"/>
  <c r="C152" i="18" s="1"/>
  <c r="C164" i="18" s="1"/>
  <c r="C64" i="18"/>
  <c r="C76" i="18" s="1"/>
  <c r="D66" i="18"/>
  <c r="D78" i="18" s="1"/>
  <c r="C61" i="18"/>
  <c r="C85" i="18" s="1"/>
  <c r="C97" i="18" s="1"/>
  <c r="C109" i="18" s="1"/>
  <c r="C121" i="18" s="1"/>
  <c r="C133" i="18" s="1"/>
  <c r="C145" i="18" s="1"/>
  <c r="C157" i="18" s="1"/>
  <c r="C181" i="18" s="1"/>
  <c r="C193" i="18" s="1"/>
  <c r="C205" i="18" s="1"/>
  <c r="D79" i="18"/>
  <c r="C63" i="18"/>
  <c r="C87" i="18" s="1"/>
  <c r="C99" i="18" s="1"/>
  <c r="C111" i="18" s="1"/>
  <c r="C123" i="18" s="1"/>
  <c r="C135" i="18" s="1"/>
  <c r="C147" i="18" s="1"/>
  <c r="C159" i="18" s="1"/>
  <c r="C171" i="18" s="1"/>
  <c r="D53" i="18"/>
  <c r="D55" i="18"/>
  <c r="C57" i="18"/>
  <c r="C81" i="18" s="1"/>
  <c r="C93" i="18" s="1"/>
  <c r="C105" i="18" s="1"/>
  <c r="C117" i="18" s="1"/>
  <c r="C129" i="18" s="1"/>
  <c r="C141" i="18" s="1"/>
  <c r="C153" i="18" s="1"/>
  <c r="C165" i="18" s="1"/>
  <c r="C53" i="18"/>
  <c r="D63" i="18"/>
  <c r="D87" i="18" s="1"/>
  <c r="D99" i="18" s="1"/>
  <c r="D111" i="18" s="1"/>
  <c r="D123" i="18" s="1"/>
  <c r="D135" i="18" s="1"/>
  <c r="D147" i="18" s="1"/>
  <c r="D159" i="18" s="1"/>
  <c r="D171" i="18" s="1"/>
  <c r="C54" i="18"/>
  <c r="D50" i="18"/>
  <c r="F10" i="29"/>
  <c r="E20" i="29"/>
  <c r="D20" i="29"/>
  <c r="E10" i="29"/>
  <c r="C78" i="18"/>
  <c r="C90" i="18"/>
  <c r="C102" i="18" s="1"/>
  <c r="C114" i="18" s="1"/>
  <c r="C126" i="18" s="1"/>
  <c r="C138" i="18" s="1"/>
  <c r="C150" i="18" s="1"/>
  <c r="C162" i="18" s="1"/>
  <c r="C186" i="18" s="1"/>
  <c r="C198" i="18" s="1"/>
  <c r="C210" i="18" s="1"/>
  <c r="C72" i="18"/>
  <c r="D57" i="18"/>
  <c r="D69" i="18" s="1"/>
  <c r="D46" i="18"/>
  <c r="O13" i="18"/>
  <c r="C67" i="18"/>
  <c r="C79" i="18" s="1"/>
  <c r="D77" i="18"/>
  <c r="D89" i="18"/>
  <c r="D101" i="18" s="1"/>
  <c r="D113" i="18" s="1"/>
  <c r="D125" i="18" s="1"/>
  <c r="D137" i="18" s="1"/>
  <c r="D149" i="18" s="1"/>
  <c r="D161" i="18" s="1"/>
  <c r="D173" i="18" s="1"/>
  <c r="D74" i="18"/>
  <c r="D86" i="18"/>
  <c r="D98" i="18" s="1"/>
  <c r="D110" i="18" s="1"/>
  <c r="D122" i="18" s="1"/>
  <c r="D134" i="18" s="1"/>
  <c r="D146" i="18" s="1"/>
  <c r="D158" i="18" s="1"/>
  <c r="D170" i="18" s="1"/>
  <c r="C62" i="18"/>
  <c r="D49" i="18"/>
  <c r="D60" i="18"/>
  <c r="D72" i="18" s="1"/>
  <c r="C48" i="18"/>
  <c r="D71" i="18"/>
  <c r="C58" i="18"/>
  <c r="D56" i="18"/>
  <c r="D68" i="18" s="1"/>
  <c r="F24" i="29"/>
  <c r="I24" i="29" s="1"/>
  <c r="H34" i="29"/>
  <c r="G34" i="29"/>
  <c r="E34" i="29"/>
  <c r="H38" i="29"/>
  <c r="F35" i="29"/>
  <c r="E38" i="29"/>
  <c r="G38" i="29"/>
  <c r="C180" i="18"/>
  <c r="C192" i="18" s="1"/>
  <c r="C204" i="18" s="1"/>
  <c r="C168" i="18"/>
  <c r="O14" i="18"/>
  <c r="D167" i="18"/>
  <c r="D179" i="18"/>
  <c r="D191" i="18" s="1"/>
  <c r="D203" i="18" s="1"/>
  <c r="D70" i="18"/>
  <c r="D82" i="18"/>
  <c r="D94" i="18" s="1"/>
  <c r="D106" i="18" s="1"/>
  <c r="D118" i="18" s="1"/>
  <c r="D130" i="18" s="1"/>
  <c r="D142" i="18" s="1"/>
  <c r="D154" i="18" s="1"/>
  <c r="C47" i="18"/>
  <c r="C59" i="18"/>
  <c r="D187" i="18"/>
  <c r="D199" i="18" s="1"/>
  <c r="D211" i="18" s="1"/>
  <c r="D85" i="18"/>
  <c r="D97" i="18" s="1"/>
  <c r="D109" i="18" s="1"/>
  <c r="D121" i="18" s="1"/>
  <c r="D133" i="18" s="1"/>
  <c r="D145" i="18" s="1"/>
  <c r="D157" i="18" s="1"/>
  <c r="D73" i="18"/>
  <c r="D47" i="18"/>
  <c r="C89" i="18"/>
  <c r="C101" i="18" s="1"/>
  <c r="C113" i="18" s="1"/>
  <c r="C125" i="18" s="1"/>
  <c r="C137" i="18" s="1"/>
  <c r="C149" i="18" s="1"/>
  <c r="C161" i="18" s="1"/>
  <c r="C77" i="18"/>
  <c r="D64" i="18"/>
  <c r="D52" i="18"/>
  <c r="D37" i="29"/>
  <c r="D29" i="29"/>
  <c r="D30" i="29"/>
  <c r="D36" i="29"/>
  <c r="D21" i="29"/>
  <c r="D31" i="29"/>
  <c r="D23" i="29"/>
  <c r="D22" i="29"/>
  <c r="D28" i="29"/>
  <c r="D27" i="29"/>
  <c r="D26" i="29"/>
  <c r="D32" i="29"/>
  <c r="D25" i="29"/>
  <c r="D33" i="29"/>
  <c r="F33" i="29" l="1"/>
  <c r="I33" i="29" s="1"/>
  <c r="F32" i="29"/>
  <c r="I32" i="29" s="1"/>
  <c r="F23" i="29"/>
  <c r="I23" i="29" s="1"/>
  <c r="F28" i="29"/>
  <c r="I28" i="29" s="1"/>
  <c r="F22" i="29"/>
  <c r="I22" i="29" s="1"/>
  <c r="F21" i="29"/>
  <c r="I21" i="29" s="1"/>
  <c r="D34" i="29"/>
  <c r="F31" i="29"/>
  <c r="I31" i="29" s="1"/>
  <c r="F27" i="29"/>
  <c r="I27" i="29" s="1"/>
  <c r="F30" i="29"/>
  <c r="I30" i="29" s="1"/>
  <c r="F37" i="29"/>
  <c r="I37" i="29" s="1"/>
  <c r="D38" i="29"/>
  <c r="F36" i="29"/>
  <c r="I36" i="29" s="1"/>
  <c r="F25" i="29"/>
  <c r="I25" i="29" s="1"/>
  <c r="F29" i="29"/>
  <c r="I29" i="29" s="1"/>
  <c r="F26" i="29"/>
  <c r="I26" i="29" s="1"/>
  <c r="C176" i="18"/>
  <c r="C188" i="18" s="1"/>
  <c r="C200" i="18" s="1"/>
  <c r="C68" i="18"/>
  <c r="C88" i="18"/>
  <c r="C100" i="18" s="1"/>
  <c r="C112" i="18" s="1"/>
  <c r="C124" i="18" s="1"/>
  <c r="C136" i="18" s="1"/>
  <c r="C148" i="18" s="1"/>
  <c r="C160" i="18" s="1"/>
  <c r="C172" i="18" s="1"/>
  <c r="C183" i="18"/>
  <c r="C195" i="18" s="1"/>
  <c r="C207" i="18" s="1"/>
  <c r="C69" i="18"/>
  <c r="D90" i="18"/>
  <c r="D102" i="18" s="1"/>
  <c r="D114" i="18" s="1"/>
  <c r="D126" i="18" s="1"/>
  <c r="D138" i="18" s="1"/>
  <c r="D150" i="18" s="1"/>
  <c r="D162" i="18" s="1"/>
  <c r="D174" i="18" s="1"/>
  <c r="C169" i="18"/>
  <c r="C73" i="18"/>
  <c r="D75" i="18"/>
  <c r="D183" i="18"/>
  <c r="D195" i="18" s="1"/>
  <c r="D207" i="18" s="1"/>
  <c r="C75" i="18"/>
  <c r="D80" i="18"/>
  <c r="D92" i="18" s="1"/>
  <c r="D104" i="18" s="1"/>
  <c r="D116" i="18" s="1"/>
  <c r="D128" i="18" s="1"/>
  <c r="D140" i="18" s="1"/>
  <c r="D152" i="18" s="1"/>
  <c r="D164" i="18" s="1"/>
  <c r="C177" i="18"/>
  <c r="C189" i="18" s="1"/>
  <c r="C201" i="18" s="1"/>
  <c r="C174" i="18"/>
  <c r="D84" i="18"/>
  <c r="D96" i="18" s="1"/>
  <c r="D108" i="18" s="1"/>
  <c r="D120" i="18" s="1"/>
  <c r="D132" i="18" s="1"/>
  <c r="D144" i="18" s="1"/>
  <c r="D156" i="18" s="1"/>
  <c r="D168" i="18" s="1"/>
  <c r="D185" i="18"/>
  <c r="D197" i="18" s="1"/>
  <c r="D209" i="18" s="1"/>
  <c r="D182" i="18"/>
  <c r="D194" i="18" s="1"/>
  <c r="D206" i="18" s="1"/>
  <c r="C91" i="18"/>
  <c r="C103" i="18" s="1"/>
  <c r="C115" i="18" s="1"/>
  <c r="C127" i="18" s="1"/>
  <c r="C139" i="18" s="1"/>
  <c r="C151" i="18" s="1"/>
  <c r="C163" i="18" s="1"/>
  <c r="C187" i="18" s="1"/>
  <c r="C199" i="18" s="1"/>
  <c r="C211" i="18" s="1"/>
  <c r="D81" i="18"/>
  <c r="D93" i="18" s="1"/>
  <c r="D105" i="18" s="1"/>
  <c r="D117" i="18" s="1"/>
  <c r="D129" i="18" s="1"/>
  <c r="D141" i="18" s="1"/>
  <c r="D153" i="18" s="1"/>
  <c r="D177" i="18" s="1"/>
  <c r="D189" i="18" s="1"/>
  <c r="D201" i="18" s="1"/>
  <c r="G39" i="29"/>
  <c r="C86" i="18"/>
  <c r="C98" i="18" s="1"/>
  <c r="C110" i="18" s="1"/>
  <c r="C122" i="18" s="1"/>
  <c r="C134" i="18" s="1"/>
  <c r="C146" i="18" s="1"/>
  <c r="C158" i="18" s="1"/>
  <c r="C74" i="18"/>
  <c r="C82" i="18"/>
  <c r="C94" i="18" s="1"/>
  <c r="C106" i="18" s="1"/>
  <c r="C118" i="18" s="1"/>
  <c r="C130" i="18" s="1"/>
  <c r="C142" i="18" s="1"/>
  <c r="C154" i="18" s="1"/>
  <c r="C70" i="18"/>
  <c r="I35" i="29"/>
  <c r="P13" i="18"/>
  <c r="C173" i="18"/>
  <c r="C185" i="18"/>
  <c r="C197" i="18" s="1"/>
  <c r="C209" i="18" s="1"/>
  <c r="P14" i="18"/>
  <c r="P212" i="18"/>
  <c r="D166" i="18"/>
  <c r="D178" i="18"/>
  <c r="D190" i="18" s="1"/>
  <c r="D202" i="18" s="1"/>
  <c r="E39" i="29"/>
  <c r="D88" i="18"/>
  <c r="D100" i="18" s="1"/>
  <c r="D112" i="18" s="1"/>
  <c r="D124" i="18" s="1"/>
  <c r="D136" i="18" s="1"/>
  <c r="D148" i="18" s="1"/>
  <c r="D160" i="18" s="1"/>
  <c r="D76" i="18"/>
  <c r="D181" i="18"/>
  <c r="D193" i="18" s="1"/>
  <c r="D205" i="18" s="1"/>
  <c r="D169" i="18"/>
  <c r="C83" i="18"/>
  <c r="C95" i="18" s="1"/>
  <c r="C107" i="18" s="1"/>
  <c r="C119" i="18" s="1"/>
  <c r="C131" i="18" s="1"/>
  <c r="C143" i="18" s="1"/>
  <c r="C155" i="18" s="1"/>
  <c r="C71" i="18"/>
  <c r="H39" i="29"/>
  <c r="D39" i="29" l="1"/>
  <c r="F34" i="29"/>
  <c r="F38" i="29"/>
  <c r="C184" i="18"/>
  <c r="C196" i="18" s="1"/>
  <c r="C208" i="18" s="1"/>
  <c r="D186" i="18"/>
  <c r="D198" i="18" s="1"/>
  <c r="D210" i="18" s="1"/>
  <c r="D176" i="18"/>
  <c r="D188" i="18" s="1"/>
  <c r="D200" i="18" s="1"/>
  <c r="C175" i="18"/>
  <c r="D180" i="18"/>
  <c r="D192" i="18" s="1"/>
  <c r="D204" i="18" s="1"/>
  <c r="D165" i="18"/>
  <c r="Q13" i="18"/>
  <c r="Q14" i="18"/>
  <c r="C170" i="18"/>
  <c r="C182" i="18"/>
  <c r="C194" i="18" s="1"/>
  <c r="C206" i="18" s="1"/>
  <c r="C178" i="18"/>
  <c r="C190" i="18" s="1"/>
  <c r="C202" i="18" s="1"/>
  <c r="C166" i="18"/>
  <c r="I34" i="29"/>
  <c r="I38" i="29"/>
  <c r="C167" i="18"/>
  <c r="C179" i="18"/>
  <c r="C191" i="18" s="1"/>
  <c r="C203" i="18" s="1"/>
  <c r="D184" i="18"/>
  <c r="D196" i="18" s="1"/>
  <c r="D208" i="18" s="1"/>
  <c r="D172" i="18"/>
  <c r="F39" i="29" l="1"/>
  <c r="I39" i="29"/>
  <c r="G212" i="18" l="1"/>
  <c r="E11" i="29" l="1"/>
  <c r="H211" i="18" l="1"/>
  <c r="K211" i="18" s="1"/>
  <c r="H25" i="18"/>
  <c r="K25" i="18" s="1"/>
  <c r="H90" i="18"/>
  <c r="K90" i="18" s="1"/>
  <c r="H199" i="18"/>
  <c r="K199" i="18" s="1"/>
  <c r="H198" i="18"/>
  <c r="K198" i="18" s="1"/>
  <c r="H202" i="18"/>
  <c r="K202" i="18" s="1"/>
  <c r="H91" i="18"/>
  <c r="K91" i="18" s="1"/>
  <c r="H82" i="18"/>
  <c r="K82" i="18" s="1"/>
  <c r="H85" i="18"/>
  <c r="K85" i="18" s="1"/>
  <c r="H27" i="18"/>
  <c r="K27" i="18" s="1"/>
  <c r="H61" i="18"/>
  <c r="K61" i="18" s="1"/>
  <c r="H126" i="18"/>
  <c r="K126" i="18" s="1"/>
  <c r="H48" i="18"/>
  <c r="K48" i="18" s="1"/>
  <c r="H41" i="18"/>
  <c r="K41" i="18" s="1"/>
  <c r="H109" i="18"/>
  <c r="K109" i="18" s="1"/>
  <c r="H43" i="18"/>
  <c r="K43" i="18" s="1"/>
  <c r="H65" i="18"/>
  <c r="K65" i="18" s="1"/>
  <c r="H130" i="18"/>
  <c r="K130" i="18" s="1"/>
  <c r="H59" i="18"/>
  <c r="K59" i="18" s="1"/>
  <c r="H68" i="18"/>
  <c r="K68" i="18" s="1"/>
  <c r="H183" i="18"/>
  <c r="K183" i="18" s="1"/>
  <c r="H206" i="18"/>
  <c r="K206" i="18" s="1"/>
  <c r="H146" i="18"/>
  <c r="K146" i="18" s="1"/>
  <c r="H53" i="18"/>
  <c r="K53" i="18" s="1"/>
  <c r="E13" i="29"/>
  <c r="H164" i="18"/>
  <c r="K164" i="18" s="1"/>
  <c r="H169" i="18"/>
  <c r="K169" i="18" s="1"/>
  <c r="H28" i="18"/>
  <c r="K28" i="18" s="1"/>
  <c r="H162" i="18"/>
  <c r="K162" i="18" s="1"/>
  <c r="H63" i="18"/>
  <c r="K63" i="18" s="1"/>
  <c r="H155" i="18"/>
  <c r="K155" i="18" s="1"/>
  <c r="H117" i="18"/>
  <c r="K117" i="18" s="1"/>
  <c r="H181" i="18"/>
  <c r="K181" i="18" s="1"/>
  <c r="H111" i="18"/>
  <c r="K111" i="18" s="1"/>
  <c r="H118" i="18"/>
  <c r="K118" i="18" s="1"/>
  <c r="H58" i="18"/>
  <c r="K58" i="18" s="1"/>
  <c r="H94" i="18"/>
  <c r="K94" i="18" s="1"/>
  <c r="H207" i="18"/>
  <c r="K207" i="18" s="1"/>
  <c r="H52" i="18"/>
  <c r="K52" i="18" s="1"/>
  <c r="H57" i="18"/>
  <c r="K57" i="18" s="1"/>
  <c r="H122" i="18"/>
  <c r="K122" i="18" s="1"/>
  <c r="H203" i="18"/>
  <c r="K203" i="18" s="1"/>
  <c r="H147" i="18"/>
  <c r="K147" i="18" s="1"/>
  <c r="H151" i="18"/>
  <c r="K151" i="18" s="1"/>
  <c r="H187" i="18"/>
  <c r="K187" i="18" s="1"/>
  <c r="H178" i="18"/>
  <c r="K178" i="18" s="1"/>
  <c r="H149" i="18"/>
  <c r="K149" i="18" s="1"/>
  <c r="H93" i="18"/>
  <c r="K93" i="18" s="1"/>
  <c r="H158" i="18"/>
  <c r="K158" i="18" s="1"/>
  <c r="H69" i="18"/>
  <c r="K69" i="18" s="1"/>
  <c r="H205" i="18"/>
  <c r="K205" i="18" s="1"/>
  <c r="H97" i="18"/>
  <c r="K97" i="18" s="1"/>
  <c r="H136" i="18"/>
  <c r="K136" i="18" s="1"/>
  <c r="H180" i="18"/>
  <c r="K180" i="18" s="1"/>
  <c r="H210" i="18"/>
  <c r="K210" i="18" s="1"/>
  <c r="H137" i="18"/>
  <c r="K137" i="18" s="1"/>
  <c r="H112" i="18"/>
  <c r="K112" i="18" s="1"/>
  <c r="H179" i="18"/>
  <c r="K179" i="18" s="1"/>
  <c r="H100" i="18"/>
  <c r="K100" i="18" s="1"/>
  <c r="H89" i="18"/>
  <c r="K89" i="18" s="1"/>
  <c r="H154" i="18"/>
  <c r="K154" i="18" s="1"/>
  <c r="H44" i="18"/>
  <c r="K44" i="18" s="1"/>
  <c r="H116" i="18"/>
  <c r="K116" i="18" s="1"/>
  <c r="H51" i="18"/>
  <c r="K51" i="18" s="1"/>
  <c r="H20" i="18"/>
  <c r="K20" i="18" s="1"/>
  <c r="H95" i="18"/>
  <c r="K95" i="18" s="1"/>
  <c r="H22" i="18"/>
  <c r="K22" i="18" s="1"/>
  <c r="H39" i="18"/>
  <c r="K39" i="18" s="1"/>
  <c r="H125" i="18"/>
  <c r="K125" i="18" s="1"/>
  <c r="H190" i="18"/>
  <c r="K190" i="18" s="1"/>
  <c r="H165" i="18"/>
  <c r="K165" i="18" s="1"/>
  <c r="H74" i="18"/>
  <c r="K74" i="18" s="1"/>
  <c r="H142" i="18"/>
  <c r="K142" i="18" s="1"/>
  <c r="H47" i="18"/>
  <c r="K47" i="18" s="1"/>
  <c r="H129" i="18"/>
  <c r="K129" i="18" s="1"/>
  <c r="H194" i="18"/>
  <c r="K194" i="18" s="1"/>
  <c r="H37" i="18"/>
  <c r="K37" i="18" s="1"/>
  <c r="H56" i="18"/>
  <c r="K56" i="18" s="1"/>
  <c r="H76" i="18"/>
  <c r="K76" i="18" s="1"/>
  <c r="H84" i="18"/>
  <c r="K84" i="18" s="1"/>
  <c r="H127" i="18"/>
  <c r="K127" i="18" s="1"/>
  <c r="H197" i="18"/>
  <c r="K197" i="18" s="1"/>
  <c r="H99" i="18"/>
  <c r="K99" i="18" s="1"/>
  <c r="H102" i="18"/>
  <c r="K102" i="18" s="1"/>
  <c r="H29" i="18"/>
  <c r="K29" i="18" s="1"/>
  <c r="H114" i="18"/>
  <c r="K114" i="18" s="1"/>
  <c r="H110" i="18"/>
  <c r="K110" i="18" s="1"/>
  <c r="H31" i="18"/>
  <c r="K31" i="18" s="1"/>
  <c r="H121" i="18"/>
  <c r="K121" i="18" s="1"/>
  <c r="H186" i="18"/>
  <c r="K186" i="18" s="1"/>
  <c r="H172" i="18"/>
  <c r="K172" i="18" s="1"/>
  <c r="H188" i="18"/>
  <c r="K188" i="18" s="1"/>
  <c r="H168" i="18"/>
  <c r="K168" i="18" s="1"/>
  <c r="H60" i="18"/>
  <c r="K60" i="18" s="1"/>
  <c r="H159" i="18"/>
  <c r="K159" i="18" s="1"/>
  <c r="H86" i="18"/>
  <c r="K86" i="18" s="1"/>
  <c r="H140" i="18"/>
  <c r="K140" i="18" s="1"/>
  <c r="H157" i="18"/>
  <c r="K157" i="18" s="1"/>
  <c r="H75" i="18"/>
  <c r="K75" i="18" s="1"/>
  <c r="H70" i="18"/>
  <c r="K70" i="18" s="1"/>
  <c r="H170" i="18"/>
  <c r="K170" i="18" s="1"/>
  <c r="H123" i="18"/>
  <c r="K123" i="18" s="1"/>
  <c r="H156" i="18"/>
  <c r="K156" i="18" s="1"/>
  <c r="H161" i="18"/>
  <c r="K161" i="18" s="1"/>
  <c r="H79" i="18"/>
  <c r="K79" i="18" s="1"/>
  <c r="H133" i="18"/>
  <c r="K133" i="18" s="1"/>
  <c r="H73" i="18"/>
  <c r="K73" i="18" s="1"/>
  <c r="H64" i="18"/>
  <c r="K64" i="18" s="1"/>
  <c r="H92" i="18"/>
  <c r="K92" i="18" s="1"/>
  <c r="H191" i="18"/>
  <c r="K191" i="18" s="1"/>
  <c r="H54" i="18"/>
  <c r="K54" i="18" s="1"/>
  <c r="H184" i="18"/>
  <c r="K184" i="18" s="1"/>
  <c r="H36" i="18"/>
  <c r="K36" i="18" s="1"/>
  <c r="H46" i="18"/>
  <c r="K46" i="18" s="1"/>
  <c r="H106" i="18"/>
  <c r="K106" i="18" s="1"/>
  <c r="H209" i="18"/>
  <c r="K209" i="18" s="1"/>
  <c r="H124" i="18"/>
  <c r="K124" i="18" s="1"/>
  <c r="H153" i="18"/>
  <c r="K153" i="18" s="1"/>
  <c r="H71" i="18"/>
  <c r="K71" i="18" s="1"/>
  <c r="H160" i="18"/>
  <c r="K160" i="18" s="1"/>
  <c r="H176" i="18"/>
  <c r="K176" i="18" s="1"/>
  <c r="H45" i="18"/>
  <c r="K45" i="18" s="1"/>
  <c r="H80" i="18"/>
  <c r="K80" i="18" s="1"/>
  <c r="H148" i="18"/>
  <c r="K148" i="18" s="1"/>
  <c r="H150" i="18"/>
  <c r="K150" i="18" s="1"/>
  <c r="H104" i="18"/>
  <c r="K104" i="18" s="1"/>
  <c r="H189" i="18"/>
  <c r="K189" i="18" s="1"/>
  <c r="H107" i="18"/>
  <c r="K107" i="18" s="1"/>
  <c r="H166" i="18"/>
  <c r="K166" i="18" s="1"/>
  <c r="H119" i="18"/>
  <c r="K119" i="18" s="1"/>
  <c r="H196" i="18"/>
  <c r="K196" i="18" s="1"/>
  <c r="H120" i="18"/>
  <c r="K120" i="18" s="1"/>
  <c r="H193" i="18"/>
  <c r="K193" i="18" s="1"/>
  <c r="H77" i="18"/>
  <c r="K77" i="18" s="1"/>
  <c r="H113" i="18"/>
  <c r="K113" i="18" s="1"/>
  <c r="H167" i="18"/>
  <c r="K167" i="18" s="1"/>
  <c r="H21" i="18"/>
  <c r="K21" i="18" s="1"/>
  <c r="H192" i="18"/>
  <c r="K192" i="18" s="1"/>
  <c r="H87" i="18"/>
  <c r="K87" i="18" s="1"/>
  <c r="H88" i="18"/>
  <c r="K88" i="18" s="1"/>
  <c r="H185" i="18"/>
  <c r="K185" i="18" s="1"/>
  <c r="H103" i="18"/>
  <c r="K103" i="18" s="1"/>
  <c r="H101" i="18"/>
  <c r="K101" i="18" s="1"/>
  <c r="H105" i="18"/>
  <c r="K105" i="18" s="1"/>
  <c r="H141" i="18"/>
  <c r="K141" i="18" s="1"/>
  <c r="H81" i="18"/>
  <c r="K81" i="18" s="1"/>
  <c r="H108" i="18"/>
  <c r="K108" i="18" s="1"/>
  <c r="H67" i="18"/>
  <c r="K67" i="18" s="1"/>
  <c r="H32" i="18"/>
  <c r="K32" i="18" s="1"/>
  <c r="H30" i="18"/>
  <c r="K30" i="18" s="1"/>
  <c r="H139" i="18"/>
  <c r="K139" i="18" s="1"/>
  <c r="H115" i="18"/>
  <c r="K115" i="18" s="1"/>
  <c r="H132" i="18"/>
  <c r="K132" i="18" s="1"/>
  <c r="H49" i="18"/>
  <c r="K49" i="18" s="1"/>
  <c r="H40" i="18"/>
  <c r="K40" i="18" s="1"/>
  <c r="H34" i="18"/>
  <c r="K34" i="18" s="1"/>
  <c r="H143" i="18"/>
  <c r="K143" i="18" s="1"/>
  <c r="H134" i="18"/>
  <c r="K134" i="18" s="1"/>
  <c r="H42" i="18"/>
  <c r="K42" i="18" s="1"/>
  <c r="H173" i="18"/>
  <c r="K173" i="18" s="1"/>
  <c r="H208" i="18"/>
  <c r="K208" i="18" s="1"/>
  <c r="H23" i="18"/>
  <c r="K23" i="18" s="1"/>
  <c r="H182" i="18"/>
  <c r="K182" i="18" s="1"/>
  <c r="H66" i="18"/>
  <c r="K66" i="18" s="1"/>
  <c r="H138" i="18"/>
  <c r="K138" i="18" s="1"/>
  <c r="H50" i="18"/>
  <c r="K50" i="18" s="1"/>
  <c r="H55" i="18"/>
  <c r="K55" i="18" s="1"/>
  <c r="H33" i="18"/>
  <c r="K33" i="18" s="1"/>
  <c r="H96" i="18"/>
  <c r="K96" i="18" s="1"/>
  <c r="H24" i="18"/>
  <c r="K24" i="18" s="1"/>
  <c r="H26" i="18"/>
  <c r="K26" i="18" s="1"/>
  <c r="H135" i="18"/>
  <c r="K135" i="18" s="1"/>
  <c r="H38" i="18"/>
  <c r="K38" i="18" s="1"/>
  <c r="H201" i="18"/>
  <c r="K201" i="18" s="1"/>
  <c r="H78" i="18"/>
  <c r="K78" i="18" s="1"/>
  <c r="H145" i="18"/>
  <c r="K145" i="18" s="1"/>
  <c r="H200" i="18"/>
  <c r="K200" i="18" s="1"/>
  <c r="H131" i="18"/>
  <c r="K131" i="18" s="1"/>
  <c r="H128" i="18"/>
  <c r="K128" i="18" s="1"/>
  <c r="H62" i="18"/>
  <c r="K62" i="18" s="1"/>
  <c r="H171" i="18"/>
  <c r="K171" i="18" s="1"/>
  <c r="H35" i="18"/>
  <c r="K35" i="18" s="1"/>
  <c r="H204" i="18"/>
  <c r="K204" i="18" s="1"/>
  <c r="H177" i="18"/>
  <c r="K177" i="18" s="1"/>
  <c r="H144" i="18"/>
  <c r="K144" i="18" s="1"/>
  <c r="H175" i="18"/>
  <c r="K175" i="18" s="1"/>
  <c r="H83" i="18"/>
  <c r="K83" i="18" s="1"/>
  <c r="H72" i="18"/>
  <c r="K72" i="18" s="1"/>
  <c r="H174" i="18"/>
  <c r="K174" i="18" s="1"/>
  <c r="H195" i="18"/>
  <c r="K195" i="18" s="1"/>
  <c r="H152" i="18"/>
  <c r="K152" i="18" s="1"/>
  <c r="H98" i="18"/>
  <c r="K98" i="18" s="1"/>
  <c r="H163" i="18"/>
  <c r="K163" i="18" s="1"/>
  <c r="K13" i="18" l="1"/>
  <c r="K212" i="18"/>
  <c r="K14" i="18"/>
  <c r="F12" i="29" l="1"/>
  <c r="I170" i="18" l="1"/>
  <c r="J170" i="18" s="1"/>
  <c r="L170" i="18" s="1"/>
  <c r="I97" i="18"/>
  <c r="J97" i="18" s="1"/>
  <c r="L97" i="18" s="1"/>
  <c r="I174" i="18"/>
  <c r="J174" i="18" s="1"/>
  <c r="L174" i="18" s="1"/>
  <c r="I92" i="18"/>
  <c r="J92" i="18" s="1"/>
  <c r="L92" i="18" s="1"/>
  <c r="I99" i="18"/>
  <c r="J99" i="18" s="1"/>
  <c r="L99" i="18" s="1"/>
  <c r="I50" i="18"/>
  <c r="J50" i="18" s="1"/>
  <c r="L50" i="18" s="1"/>
  <c r="I131" i="18"/>
  <c r="J131" i="18" s="1"/>
  <c r="L131" i="18" s="1"/>
  <c r="I171" i="18"/>
  <c r="J171" i="18" s="1"/>
  <c r="L171" i="18" s="1"/>
  <c r="I80" i="18"/>
  <c r="J80" i="18" s="1"/>
  <c r="L80" i="18" s="1"/>
  <c r="I75" i="18"/>
  <c r="J75" i="18" s="1"/>
  <c r="L75" i="18" s="1"/>
  <c r="I211" i="18"/>
  <c r="J211" i="18" s="1"/>
  <c r="L211" i="18" s="1"/>
  <c r="I37" i="18"/>
  <c r="J37" i="18" s="1"/>
  <c r="L37" i="18" s="1"/>
  <c r="I42" i="18"/>
  <c r="J42" i="18" s="1"/>
  <c r="L42" i="18" s="1"/>
  <c r="I185" i="18"/>
  <c r="J185" i="18" s="1"/>
  <c r="L185" i="18" s="1"/>
  <c r="I49" i="18"/>
  <c r="J49" i="18" s="1"/>
  <c r="L49" i="18" s="1"/>
  <c r="I204" i="18"/>
  <c r="J204" i="18" s="1"/>
  <c r="L204" i="18" s="1"/>
  <c r="I133" i="18"/>
  <c r="J133" i="18" s="1"/>
  <c r="L133" i="18" s="1"/>
  <c r="I161" i="18"/>
  <c r="J161" i="18" s="1"/>
  <c r="L161" i="18" s="1"/>
  <c r="I184" i="18"/>
  <c r="J184" i="18" s="1"/>
  <c r="L184" i="18" s="1"/>
  <c r="I181" i="18"/>
  <c r="J181" i="18" s="1"/>
  <c r="L181" i="18" s="1"/>
  <c r="I39" i="18"/>
  <c r="J39" i="18" s="1"/>
  <c r="L39" i="18" s="1"/>
  <c r="I47" i="18"/>
  <c r="J47" i="18" s="1"/>
  <c r="L47" i="18" s="1"/>
  <c r="I128" i="18"/>
  <c r="J128" i="18" s="1"/>
  <c r="L128" i="18" s="1"/>
  <c r="I173" i="18"/>
  <c r="J173" i="18" s="1"/>
  <c r="L173" i="18" s="1"/>
  <c r="I148" i="18"/>
  <c r="J148" i="18" s="1"/>
  <c r="L148" i="18" s="1"/>
  <c r="I178" i="18"/>
  <c r="J178" i="18" s="1"/>
  <c r="L178" i="18" s="1"/>
  <c r="I151" i="18"/>
  <c r="J151" i="18" s="1"/>
  <c r="L151" i="18" s="1"/>
  <c r="I208" i="18"/>
  <c r="J208" i="18" s="1"/>
  <c r="L208" i="18" s="1"/>
  <c r="I160" i="18"/>
  <c r="J160" i="18" s="1"/>
  <c r="L160" i="18" s="1"/>
  <c r="I23" i="18"/>
  <c r="J23" i="18" s="1"/>
  <c r="L23" i="18" s="1"/>
  <c r="I112" i="18"/>
  <c r="J112" i="18" s="1"/>
  <c r="L112" i="18" s="1"/>
  <c r="I202" i="18"/>
  <c r="J202" i="18" s="1"/>
  <c r="L202" i="18" s="1"/>
  <c r="I205" i="18"/>
  <c r="J205" i="18" s="1"/>
  <c r="L205" i="18" s="1"/>
  <c r="I33" i="18"/>
  <c r="J33" i="18" s="1"/>
  <c r="L33" i="18" s="1"/>
  <c r="I190" i="18"/>
  <c r="J190" i="18" s="1"/>
  <c r="L190" i="18" s="1"/>
  <c r="I87" i="18"/>
  <c r="J87" i="18" s="1"/>
  <c r="L87" i="18" s="1"/>
  <c r="I31" i="18"/>
  <c r="J31" i="18" s="1"/>
  <c r="L31" i="18" s="1"/>
  <c r="I104" i="18"/>
  <c r="J104" i="18" s="1"/>
  <c r="L104" i="18" s="1"/>
  <c r="I102" i="18"/>
  <c r="J102" i="18" s="1"/>
  <c r="L102" i="18" s="1"/>
  <c r="I135" i="18"/>
  <c r="J135" i="18" s="1"/>
  <c r="L135" i="18" s="1"/>
  <c r="I177" i="18"/>
  <c r="J177" i="18" s="1"/>
  <c r="L177" i="18" s="1"/>
  <c r="I108" i="18"/>
  <c r="J108" i="18" s="1"/>
  <c r="L108" i="18" s="1"/>
  <c r="I203" i="18"/>
  <c r="J203" i="18" s="1"/>
  <c r="L203" i="18" s="1"/>
  <c r="I172" i="18"/>
  <c r="J172" i="18" s="1"/>
  <c r="L172" i="18" s="1"/>
  <c r="I127" i="18"/>
  <c r="J127" i="18" s="1"/>
  <c r="L127" i="18" s="1"/>
  <c r="I36" i="18"/>
  <c r="J36" i="18" s="1"/>
  <c r="L36" i="18" s="1"/>
  <c r="I90" i="18"/>
  <c r="J90" i="18" s="1"/>
  <c r="L90" i="18" s="1"/>
  <c r="I101" i="18"/>
  <c r="J101" i="18" s="1"/>
  <c r="L101" i="18" s="1"/>
  <c r="I114" i="18"/>
  <c r="J114" i="18" s="1"/>
  <c r="L114" i="18" s="1"/>
  <c r="I46" i="18"/>
  <c r="J46" i="18" s="1"/>
  <c r="L46" i="18" s="1"/>
  <c r="I124" i="18"/>
  <c r="J124" i="18" s="1"/>
  <c r="L124" i="18" s="1"/>
  <c r="I155" i="18"/>
  <c r="J155" i="18" s="1"/>
  <c r="L155" i="18" s="1"/>
  <c r="I84" i="18"/>
  <c r="J84" i="18" s="1"/>
  <c r="L84" i="18" s="1"/>
  <c r="I141" i="18"/>
  <c r="J141" i="18" s="1"/>
  <c r="L141" i="18" s="1"/>
  <c r="I209" i="18"/>
  <c r="J209" i="18" s="1"/>
  <c r="L209" i="18" s="1"/>
  <c r="I41" i="18"/>
  <c r="J41" i="18" s="1"/>
  <c r="L41" i="18" s="1"/>
  <c r="I51" i="18"/>
  <c r="J51" i="18" s="1"/>
  <c r="L51" i="18" s="1"/>
  <c r="I83" i="18"/>
  <c r="J83" i="18" s="1"/>
  <c r="L83" i="18" s="1"/>
  <c r="I147" i="18"/>
  <c r="J147" i="18" s="1"/>
  <c r="L147" i="18" s="1"/>
  <c r="I210" i="18"/>
  <c r="J210" i="18" s="1"/>
  <c r="L210" i="18" s="1"/>
  <c r="I67" i="18"/>
  <c r="J67" i="18" s="1"/>
  <c r="L67" i="18" s="1"/>
  <c r="I56" i="18"/>
  <c r="J56" i="18" s="1"/>
  <c r="I103" i="18"/>
  <c r="J103" i="18" s="1"/>
  <c r="L103" i="18" s="1"/>
  <c r="I89" i="18"/>
  <c r="J89" i="18" s="1"/>
  <c r="L89" i="18" s="1"/>
  <c r="F14" i="29"/>
  <c r="I167" i="18"/>
  <c r="J167" i="18" s="1"/>
  <c r="L167" i="18" s="1"/>
  <c r="I153" i="18"/>
  <c r="J153" i="18" s="1"/>
  <c r="L153" i="18" s="1"/>
  <c r="I142" i="18"/>
  <c r="J142" i="18" s="1"/>
  <c r="L142" i="18" s="1"/>
  <c r="I146" i="18"/>
  <c r="J146" i="18" s="1"/>
  <c r="L146" i="18" s="1"/>
  <c r="I192" i="18"/>
  <c r="J192" i="18" s="1"/>
  <c r="L192" i="18" s="1"/>
  <c r="I113" i="18"/>
  <c r="J113" i="18" s="1"/>
  <c r="L113" i="18" s="1"/>
  <c r="I74" i="18"/>
  <c r="J74" i="18" s="1"/>
  <c r="L74" i="18" s="1"/>
  <c r="I157" i="18"/>
  <c r="J157" i="18" s="1"/>
  <c r="L157" i="18" s="1"/>
  <c r="I145" i="18"/>
  <c r="J145" i="18" s="1"/>
  <c r="L145" i="18" s="1"/>
  <c r="I198" i="18"/>
  <c r="J198" i="18" s="1"/>
  <c r="L198" i="18" s="1"/>
  <c r="I73" i="18"/>
  <c r="J73" i="18" s="1"/>
  <c r="L73" i="18" s="1"/>
  <c r="I64" i="18"/>
  <c r="J64" i="18" s="1"/>
  <c r="L64" i="18" s="1"/>
  <c r="I78" i="18"/>
  <c r="J78" i="18" s="1"/>
  <c r="L78" i="18" s="1"/>
  <c r="I199" i="18"/>
  <c r="J199" i="18" s="1"/>
  <c r="L199" i="18" s="1"/>
  <c r="I197" i="18"/>
  <c r="J197" i="18" s="1"/>
  <c r="L197" i="18" s="1"/>
  <c r="I150" i="18"/>
  <c r="J150" i="18" s="1"/>
  <c r="L150" i="18" s="1"/>
  <c r="I35" i="18"/>
  <c r="J35" i="18" s="1"/>
  <c r="L35" i="18" s="1"/>
  <c r="I179" i="18"/>
  <c r="J179" i="18" s="1"/>
  <c r="L179" i="18" s="1"/>
  <c r="I70" i="18"/>
  <c r="J70" i="18" s="1"/>
  <c r="L70" i="18" s="1"/>
  <c r="I28" i="18"/>
  <c r="J28" i="18" s="1"/>
  <c r="L28" i="18" s="1"/>
  <c r="I183" i="18"/>
  <c r="J183" i="18" s="1"/>
  <c r="L183" i="18" s="1"/>
  <c r="I48" i="18"/>
  <c r="J48" i="18" s="1"/>
  <c r="L48" i="18" s="1"/>
  <c r="I29" i="18"/>
  <c r="J29" i="18" s="1"/>
  <c r="L29" i="18" s="1"/>
  <c r="I130" i="18"/>
  <c r="J130" i="18" s="1"/>
  <c r="L130" i="18" s="1"/>
  <c r="I187" i="18"/>
  <c r="J187" i="18" s="1"/>
  <c r="L187" i="18" s="1"/>
  <c r="I194" i="18"/>
  <c r="J194" i="18" s="1"/>
  <c r="L194" i="18" s="1"/>
  <c r="I156" i="18"/>
  <c r="J156" i="18" s="1"/>
  <c r="L156" i="18" s="1"/>
  <c r="I24" i="18"/>
  <c r="J24" i="18" s="1"/>
  <c r="L24" i="18" s="1"/>
  <c r="I163" i="18"/>
  <c r="J163" i="18" s="1"/>
  <c r="L163" i="18" s="1"/>
  <c r="I137" i="18"/>
  <c r="J137" i="18" s="1"/>
  <c r="L137" i="18" s="1"/>
  <c r="I195" i="18"/>
  <c r="J195" i="18" s="1"/>
  <c r="L195" i="18" s="1"/>
  <c r="I54" i="18"/>
  <c r="J54" i="18" s="1"/>
  <c r="L54" i="18" s="1"/>
  <c r="I140" i="18"/>
  <c r="J140" i="18" s="1"/>
  <c r="L140" i="18" s="1"/>
  <c r="I186" i="18"/>
  <c r="J186" i="18" s="1"/>
  <c r="L186" i="18" s="1"/>
  <c r="I77" i="18"/>
  <c r="J77" i="18" s="1"/>
  <c r="L77" i="18" s="1"/>
  <c r="I126" i="18"/>
  <c r="J126" i="18" s="1"/>
  <c r="L126" i="18" s="1"/>
  <c r="I111" i="18"/>
  <c r="J111" i="18" s="1"/>
  <c r="L111" i="18" s="1"/>
  <c r="I26" i="18"/>
  <c r="J26" i="18" s="1"/>
  <c r="L26" i="18" s="1"/>
  <c r="I98" i="18"/>
  <c r="J98" i="18" s="1"/>
  <c r="L98" i="18" s="1"/>
  <c r="I22" i="18"/>
  <c r="J22" i="18" s="1"/>
  <c r="L22" i="18" s="1"/>
  <c r="I25" i="18"/>
  <c r="J25" i="18" s="1"/>
  <c r="L25" i="18" s="1"/>
  <c r="I27" i="18"/>
  <c r="J27" i="18" s="1"/>
  <c r="L27" i="18" s="1"/>
  <c r="I120" i="18"/>
  <c r="J120" i="18" s="1"/>
  <c r="L120" i="18" s="1"/>
  <c r="I110" i="18"/>
  <c r="J110" i="18" s="1"/>
  <c r="L110" i="18" s="1"/>
  <c r="I63" i="18"/>
  <c r="J63" i="18" s="1"/>
  <c r="L63" i="18" s="1"/>
  <c r="I159" i="18"/>
  <c r="J159" i="18" s="1"/>
  <c r="L159" i="18" s="1"/>
  <c r="I38" i="18"/>
  <c r="J38" i="18" s="1"/>
  <c r="L38" i="18" s="1"/>
  <c r="I40" i="18"/>
  <c r="J40" i="18" s="1"/>
  <c r="L40" i="18" s="1"/>
  <c r="I79" i="18"/>
  <c r="J79" i="18" s="1"/>
  <c r="L79" i="18" s="1"/>
  <c r="I61" i="18"/>
  <c r="J61" i="18" s="1"/>
  <c r="L61" i="18" s="1"/>
  <c r="I59" i="18"/>
  <c r="J59" i="18" s="1"/>
  <c r="L59" i="18" s="1"/>
  <c r="I191" i="18"/>
  <c r="J191" i="18" s="1"/>
  <c r="L191" i="18" s="1"/>
  <c r="I86" i="18"/>
  <c r="J86" i="18" s="1"/>
  <c r="L86" i="18" s="1"/>
  <c r="I154" i="18"/>
  <c r="J154" i="18" s="1"/>
  <c r="L154" i="18" s="1"/>
  <c r="I55" i="18"/>
  <c r="J55" i="18" s="1"/>
  <c r="L55" i="18" s="1"/>
  <c r="I166" i="18"/>
  <c r="J166" i="18" s="1"/>
  <c r="L166" i="18" s="1"/>
  <c r="I81" i="18"/>
  <c r="J81" i="18" s="1"/>
  <c r="L81" i="18" s="1"/>
  <c r="I129" i="18"/>
  <c r="J129" i="18" s="1"/>
  <c r="L129" i="18" s="1"/>
  <c r="I176" i="18"/>
  <c r="J176" i="18" s="1"/>
  <c r="L176" i="18" s="1"/>
  <c r="I125" i="18"/>
  <c r="J125" i="18" s="1"/>
  <c r="L125" i="18" s="1"/>
  <c r="I65" i="18"/>
  <c r="J65" i="18" s="1"/>
  <c r="L65" i="18" s="1"/>
  <c r="I53" i="18"/>
  <c r="J53" i="18" s="1"/>
  <c r="L53" i="18" s="1"/>
  <c r="I182" i="18"/>
  <c r="J182" i="18" s="1"/>
  <c r="L182" i="18" s="1"/>
  <c r="I58" i="18"/>
  <c r="J58" i="18" s="1"/>
  <c r="L58" i="18" s="1"/>
  <c r="I72" i="18"/>
  <c r="J72" i="18" s="1"/>
  <c r="L72" i="18" s="1"/>
  <c r="I20" i="18"/>
  <c r="J20" i="18" s="1"/>
  <c r="I66" i="18"/>
  <c r="J66" i="18" s="1"/>
  <c r="L66" i="18" s="1"/>
  <c r="I122" i="18"/>
  <c r="J122" i="18" s="1"/>
  <c r="L122" i="18" s="1"/>
  <c r="I85" i="18"/>
  <c r="J85" i="18" s="1"/>
  <c r="L85" i="18" s="1"/>
  <c r="I30" i="18"/>
  <c r="J30" i="18" s="1"/>
  <c r="L30" i="18" s="1"/>
  <c r="I158" i="18"/>
  <c r="J158" i="18" s="1"/>
  <c r="L158" i="18" s="1"/>
  <c r="I115" i="18"/>
  <c r="J115" i="18" s="1"/>
  <c r="L115" i="18" s="1"/>
  <c r="I132" i="18"/>
  <c r="J132" i="18" s="1"/>
  <c r="L132" i="18" s="1"/>
  <c r="I117" i="18"/>
  <c r="J117" i="18" s="1"/>
  <c r="L117" i="18" s="1"/>
  <c r="I164" i="18"/>
  <c r="J164" i="18" s="1"/>
  <c r="L164" i="18" s="1"/>
  <c r="I62" i="18"/>
  <c r="J62" i="18" s="1"/>
  <c r="L62" i="18" s="1"/>
  <c r="I200" i="18"/>
  <c r="J200" i="18" s="1"/>
  <c r="L200" i="18" s="1"/>
  <c r="I121" i="18"/>
  <c r="J121" i="18" s="1"/>
  <c r="L121" i="18" s="1"/>
  <c r="I136" i="18"/>
  <c r="J136" i="18" s="1"/>
  <c r="L136" i="18" s="1"/>
  <c r="I106" i="18"/>
  <c r="J106" i="18" s="1"/>
  <c r="L106" i="18" s="1"/>
  <c r="I134" i="18"/>
  <c r="J134" i="18" s="1"/>
  <c r="L134" i="18" s="1"/>
  <c r="I68" i="18"/>
  <c r="J68" i="18" s="1"/>
  <c r="L68" i="18" s="1"/>
  <c r="I149" i="18"/>
  <c r="J149" i="18" s="1"/>
  <c r="L149" i="18" s="1"/>
  <c r="I189" i="18"/>
  <c r="J189" i="18" s="1"/>
  <c r="L189" i="18" s="1"/>
  <c r="I76" i="18"/>
  <c r="J76" i="18" s="1"/>
  <c r="L76" i="18" s="1"/>
  <c r="I201" i="18"/>
  <c r="J201" i="18" s="1"/>
  <c r="L201" i="18" s="1"/>
  <c r="I188" i="18"/>
  <c r="J188" i="18" s="1"/>
  <c r="L188" i="18" s="1"/>
  <c r="I169" i="18"/>
  <c r="J169" i="18" s="1"/>
  <c r="L169" i="18" s="1"/>
  <c r="I32" i="18"/>
  <c r="J32" i="18" s="1"/>
  <c r="L32" i="18" s="1"/>
  <c r="I45" i="18"/>
  <c r="J45" i="18" s="1"/>
  <c r="L45" i="18" s="1"/>
  <c r="I44" i="18"/>
  <c r="J44" i="18" s="1"/>
  <c r="L44" i="18" s="1"/>
  <c r="I94" i="18"/>
  <c r="J94" i="18" s="1"/>
  <c r="L94" i="18" s="1"/>
  <c r="I88" i="18"/>
  <c r="J88" i="18" s="1"/>
  <c r="L88" i="18" s="1"/>
  <c r="I34" i="18"/>
  <c r="J34" i="18" s="1"/>
  <c r="L34" i="18" s="1"/>
  <c r="I144" i="18"/>
  <c r="J144" i="18" s="1"/>
  <c r="L144" i="18" s="1"/>
  <c r="I71" i="18"/>
  <c r="J71" i="18" s="1"/>
  <c r="L71" i="18" s="1"/>
  <c r="I21" i="18"/>
  <c r="J21" i="18" s="1"/>
  <c r="L21" i="18" s="1"/>
  <c r="I57" i="18"/>
  <c r="J57" i="18" s="1"/>
  <c r="L57" i="18" s="1"/>
  <c r="I206" i="18"/>
  <c r="J206" i="18" s="1"/>
  <c r="L206" i="18" s="1"/>
  <c r="I152" i="18"/>
  <c r="J152" i="18" s="1"/>
  <c r="L152" i="18" s="1"/>
  <c r="I60" i="18"/>
  <c r="J60" i="18" s="1"/>
  <c r="L60" i="18" s="1"/>
  <c r="I105" i="18"/>
  <c r="J105" i="18" s="1"/>
  <c r="L105" i="18" s="1"/>
  <c r="I95" i="18"/>
  <c r="J95" i="18" s="1"/>
  <c r="L95" i="18" s="1"/>
  <c r="I165" i="18"/>
  <c r="J165" i="18" s="1"/>
  <c r="L165" i="18" s="1"/>
  <c r="I162" i="18"/>
  <c r="J162" i="18" s="1"/>
  <c r="L162" i="18" s="1"/>
  <c r="I107" i="18"/>
  <c r="J107" i="18" s="1"/>
  <c r="L107" i="18" s="1"/>
  <c r="I180" i="18"/>
  <c r="J180" i="18" s="1"/>
  <c r="L180" i="18" s="1"/>
  <c r="I139" i="18"/>
  <c r="J139" i="18" s="1"/>
  <c r="L139" i="18" s="1"/>
  <c r="I168" i="18"/>
  <c r="J168" i="18" s="1"/>
  <c r="L168" i="18" s="1"/>
  <c r="I69" i="18"/>
  <c r="J69" i="18" s="1"/>
  <c r="L69" i="18" s="1"/>
  <c r="I109" i="18"/>
  <c r="J109" i="18" s="1"/>
  <c r="L109" i="18" s="1"/>
  <c r="I207" i="18"/>
  <c r="J207" i="18" s="1"/>
  <c r="L207" i="18" s="1"/>
  <c r="I193" i="18"/>
  <c r="J193" i="18" s="1"/>
  <c r="L193" i="18" s="1"/>
  <c r="I52" i="18"/>
  <c r="J52" i="18" s="1"/>
  <c r="L52" i="18" s="1"/>
  <c r="I118" i="18"/>
  <c r="J118" i="18" s="1"/>
  <c r="L118" i="18" s="1"/>
  <c r="I138" i="18"/>
  <c r="J138" i="18" s="1"/>
  <c r="L138" i="18" s="1"/>
  <c r="I96" i="18"/>
  <c r="J96" i="18" s="1"/>
  <c r="L96" i="18" s="1"/>
  <c r="I93" i="18"/>
  <c r="J93" i="18" s="1"/>
  <c r="L93" i="18" s="1"/>
  <c r="I119" i="18"/>
  <c r="J119" i="18" s="1"/>
  <c r="L119" i="18" s="1"/>
  <c r="I123" i="18"/>
  <c r="J123" i="18" s="1"/>
  <c r="L123" i="18" s="1"/>
  <c r="I43" i="18"/>
  <c r="J43" i="18" s="1"/>
  <c r="L43" i="18" s="1"/>
  <c r="I175" i="18"/>
  <c r="J175" i="18" s="1"/>
  <c r="L175" i="18" s="1"/>
  <c r="I143" i="18"/>
  <c r="J143" i="18" s="1"/>
  <c r="L143" i="18" s="1"/>
  <c r="I91" i="18"/>
  <c r="J91" i="18" s="1"/>
  <c r="L91" i="18" s="1"/>
  <c r="I82" i="18"/>
  <c r="J82" i="18" s="1"/>
  <c r="L82" i="18" s="1"/>
  <c r="I100" i="18"/>
  <c r="J100" i="18" s="1"/>
  <c r="L100" i="18" s="1"/>
  <c r="I196" i="18"/>
  <c r="J196" i="18" s="1"/>
  <c r="L196" i="18" s="1"/>
  <c r="I116" i="18"/>
  <c r="J116" i="18" s="1"/>
  <c r="L116" i="18" s="1"/>
  <c r="L20" i="18" l="1"/>
  <c r="J212" i="18"/>
  <c r="J14" i="18"/>
  <c r="J13" i="18"/>
  <c r="L56" i="18"/>
  <c r="L13" i="18" l="1"/>
  <c r="L14" i="18"/>
  <c r="L212" i="18"/>
  <c r="M37" i="18" l="1"/>
  <c r="N37" i="18" s="1"/>
  <c r="R37" i="18" s="1"/>
  <c r="M77" i="18"/>
  <c r="N77" i="18" s="1"/>
  <c r="R77" i="18" s="1"/>
  <c r="M45" i="18"/>
  <c r="N45" i="18" s="1"/>
  <c r="R45" i="18" s="1"/>
  <c r="M195" i="18"/>
  <c r="N195" i="18" s="1"/>
  <c r="R195" i="18" s="1"/>
  <c r="M127" i="18"/>
  <c r="N127" i="18" s="1"/>
  <c r="R127" i="18" s="1"/>
  <c r="M183" i="18"/>
  <c r="N183" i="18" s="1"/>
  <c r="R183" i="18" s="1"/>
  <c r="M42" i="18"/>
  <c r="N42" i="18" s="1"/>
  <c r="R42" i="18" s="1"/>
  <c r="M55" i="18"/>
  <c r="N55" i="18" s="1"/>
  <c r="R55" i="18" s="1"/>
  <c r="M69" i="18"/>
  <c r="N69" i="18" s="1"/>
  <c r="R69" i="18" s="1"/>
  <c r="M90" i="18"/>
  <c r="N90" i="18" s="1"/>
  <c r="R90" i="18" s="1"/>
  <c r="M78" i="18"/>
  <c r="N78" i="18" s="1"/>
  <c r="R78" i="18" s="1"/>
  <c r="M68" i="18"/>
  <c r="N68" i="18" s="1"/>
  <c r="R68" i="18" s="1"/>
  <c r="M204" i="18"/>
  <c r="N204" i="18" s="1"/>
  <c r="R204" i="18" s="1"/>
  <c r="M53" i="18"/>
  <c r="N53" i="18" s="1"/>
  <c r="R53" i="18" s="1"/>
  <c r="M48" i="18"/>
  <c r="N48" i="18" s="1"/>
  <c r="R48" i="18" s="1"/>
  <c r="M166" i="18"/>
  <c r="N166" i="18" s="1"/>
  <c r="R166" i="18" s="1"/>
  <c r="M27" i="18"/>
  <c r="N27" i="18" s="1"/>
  <c r="R27" i="18" s="1"/>
  <c r="M168" i="18"/>
  <c r="N168" i="18" s="1"/>
  <c r="R168" i="18" s="1"/>
  <c r="M129" i="18"/>
  <c r="N129" i="18" s="1"/>
  <c r="R129" i="18" s="1"/>
  <c r="M202" i="18"/>
  <c r="N202" i="18" s="1"/>
  <c r="R202" i="18" s="1"/>
  <c r="M156" i="18"/>
  <c r="N156" i="18" s="1"/>
  <c r="R156" i="18" s="1"/>
  <c r="M136" i="18"/>
  <c r="N136" i="18" s="1"/>
  <c r="R136" i="18" s="1"/>
  <c r="M105" i="18"/>
  <c r="N105" i="18" s="1"/>
  <c r="R105" i="18" s="1"/>
  <c r="M132" i="18"/>
  <c r="N132" i="18" s="1"/>
  <c r="R132" i="18" s="1"/>
  <c r="M158" i="18"/>
  <c r="N158" i="18" s="1"/>
  <c r="R158" i="18" s="1"/>
  <c r="M108" i="18"/>
  <c r="N108" i="18" s="1"/>
  <c r="R108" i="18" s="1"/>
  <c r="M50" i="18"/>
  <c r="N50" i="18" s="1"/>
  <c r="R50" i="18" s="1"/>
  <c r="M140" i="18"/>
  <c r="N140" i="18" s="1"/>
  <c r="R140" i="18" s="1"/>
  <c r="M193" i="18"/>
  <c r="N193" i="18" s="1"/>
  <c r="R193" i="18" s="1"/>
  <c r="M41" i="18"/>
  <c r="N41" i="18" s="1"/>
  <c r="R41" i="18" s="1"/>
  <c r="M171" i="18"/>
  <c r="N171" i="18" s="1"/>
  <c r="R171" i="18" s="1"/>
  <c r="M86" i="18"/>
  <c r="N86" i="18" s="1"/>
  <c r="R86" i="18" s="1"/>
  <c r="M40" i="18"/>
  <c r="N40" i="18" s="1"/>
  <c r="R40" i="18" s="1"/>
  <c r="M96" i="18"/>
  <c r="N96" i="18" s="1"/>
  <c r="R96" i="18" s="1"/>
  <c r="M164" i="18"/>
  <c r="N164" i="18" s="1"/>
  <c r="R164" i="18" s="1"/>
  <c r="M102" i="18"/>
  <c r="N102" i="18" s="1"/>
  <c r="R102" i="18" s="1"/>
  <c r="M121" i="18"/>
  <c r="N121" i="18" s="1"/>
  <c r="R121" i="18" s="1"/>
  <c r="M169" i="18"/>
  <c r="N169" i="18" s="1"/>
  <c r="R169" i="18" s="1"/>
  <c r="M20" i="18"/>
  <c r="M71" i="18"/>
  <c r="N71" i="18" s="1"/>
  <c r="R71" i="18" s="1"/>
  <c r="M153" i="18"/>
  <c r="N153" i="18" s="1"/>
  <c r="R153" i="18" s="1"/>
  <c r="M107" i="18"/>
  <c r="N107" i="18" s="1"/>
  <c r="R107" i="18" s="1"/>
  <c r="M80" i="18"/>
  <c r="N80" i="18" s="1"/>
  <c r="R80" i="18" s="1"/>
  <c r="M188" i="18"/>
  <c r="N188" i="18" s="1"/>
  <c r="R188" i="18" s="1"/>
  <c r="M122" i="18"/>
  <c r="N122" i="18" s="1"/>
  <c r="R122" i="18" s="1"/>
  <c r="M209" i="18"/>
  <c r="N209" i="18" s="1"/>
  <c r="R209" i="18" s="1"/>
  <c r="M149" i="18"/>
  <c r="N149" i="18" s="1"/>
  <c r="R149" i="18" s="1"/>
  <c r="M200" i="18"/>
  <c r="N200" i="18" s="1"/>
  <c r="R200" i="18" s="1"/>
  <c r="M205" i="18"/>
  <c r="N205" i="18" s="1"/>
  <c r="R205" i="18" s="1"/>
  <c r="M173" i="18"/>
  <c r="N173" i="18" s="1"/>
  <c r="R173" i="18" s="1"/>
  <c r="M128" i="18"/>
  <c r="N128" i="18" s="1"/>
  <c r="R128" i="18" s="1"/>
  <c r="M57" i="18"/>
  <c r="N57" i="18" s="1"/>
  <c r="R57" i="18" s="1"/>
  <c r="M66" i="18"/>
  <c r="N66" i="18" s="1"/>
  <c r="R66" i="18" s="1"/>
  <c r="M101" i="18"/>
  <c r="N101" i="18" s="1"/>
  <c r="R101" i="18" s="1"/>
  <c r="M199" i="18"/>
  <c r="N199" i="18" s="1"/>
  <c r="R199" i="18" s="1"/>
  <c r="M60" i="18"/>
  <c r="N60" i="18" s="1"/>
  <c r="R60" i="18" s="1"/>
  <c r="M151" i="18"/>
  <c r="N151" i="18" s="1"/>
  <c r="R151" i="18" s="1"/>
  <c r="M98" i="18"/>
  <c r="N98" i="18" s="1"/>
  <c r="R98" i="18" s="1"/>
  <c r="M208" i="18"/>
  <c r="N208" i="18" s="1"/>
  <c r="R208" i="18" s="1"/>
  <c r="M114" i="18"/>
  <c r="N114" i="18" s="1"/>
  <c r="R114" i="18" s="1"/>
  <c r="M100" i="18"/>
  <c r="N100" i="18" s="1"/>
  <c r="R100" i="18" s="1"/>
  <c r="M62" i="18"/>
  <c r="N62" i="18" s="1"/>
  <c r="R62" i="18" s="1"/>
  <c r="M75" i="18"/>
  <c r="N75" i="18" s="1"/>
  <c r="R75" i="18" s="1"/>
  <c r="M104" i="18"/>
  <c r="N104" i="18" s="1"/>
  <c r="R104" i="18" s="1"/>
  <c r="M38" i="18"/>
  <c r="N38" i="18" s="1"/>
  <c r="R38" i="18" s="1"/>
  <c r="M196" i="18"/>
  <c r="N196" i="18" s="1"/>
  <c r="R196" i="18" s="1"/>
  <c r="M89" i="18"/>
  <c r="N89" i="18" s="1"/>
  <c r="R89" i="18" s="1"/>
  <c r="M92" i="18"/>
  <c r="N92" i="18" s="1"/>
  <c r="R92" i="18" s="1"/>
  <c r="M176" i="18"/>
  <c r="N176" i="18" s="1"/>
  <c r="R176" i="18" s="1"/>
  <c r="M43" i="18"/>
  <c r="N43" i="18" s="1"/>
  <c r="R43" i="18" s="1"/>
  <c r="M84" i="18"/>
  <c r="N84" i="18" s="1"/>
  <c r="R84" i="18" s="1"/>
  <c r="M70" i="18"/>
  <c r="N70" i="18" s="1"/>
  <c r="R70" i="18" s="1"/>
  <c r="M134" i="18"/>
  <c r="N134" i="18" s="1"/>
  <c r="R134" i="18" s="1"/>
  <c r="M206" i="18"/>
  <c r="N206" i="18" s="1"/>
  <c r="R206" i="18" s="1"/>
  <c r="M197" i="18"/>
  <c r="N197" i="18" s="1"/>
  <c r="R197" i="18" s="1"/>
  <c r="M72" i="18"/>
  <c r="N72" i="18" s="1"/>
  <c r="R72" i="18" s="1"/>
  <c r="M167" i="18"/>
  <c r="N167" i="18" s="1"/>
  <c r="R167" i="18" s="1"/>
  <c r="M162" i="18"/>
  <c r="N162" i="18" s="1"/>
  <c r="R162" i="18" s="1"/>
  <c r="M73" i="18"/>
  <c r="N73" i="18" s="1"/>
  <c r="R73" i="18" s="1"/>
  <c r="M207" i="18"/>
  <c r="N207" i="18" s="1"/>
  <c r="R207" i="18" s="1"/>
  <c r="M94" i="18"/>
  <c r="N94" i="18" s="1"/>
  <c r="R94" i="18" s="1"/>
  <c r="M119" i="18"/>
  <c r="N119" i="18" s="1"/>
  <c r="R119" i="18" s="1"/>
  <c r="M137" i="18"/>
  <c r="N137" i="18" s="1"/>
  <c r="R137" i="18" s="1"/>
  <c r="M145" i="18"/>
  <c r="N145" i="18" s="1"/>
  <c r="R145" i="18" s="1"/>
  <c r="M83" i="18"/>
  <c r="N83" i="18" s="1"/>
  <c r="R83" i="18" s="1"/>
  <c r="M189" i="18"/>
  <c r="N189" i="18" s="1"/>
  <c r="R189" i="18" s="1"/>
  <c r="M192" i="18"/>
  <c r="N192" i="18" s="1"/>
  <c r="R192" i="18" s="1"/>
  <c r="M115" i="18"/>
  <c r="N115" i="18" s="1"/>
  <c r="R115" i="18" s="1"/>
  <c r="M160" i="18"/>
  <c r="N160" i="18" s="1"/>
  <c r="R160" i="18" s="1"/>
  <c r="M44" i="18"/>
  <c r="N44" i="18" s="1"/>
  <c r="R44" i="18" s="1"/>
  <c r="M178" i="18"/>
  <c r="N178" i="18" s="1"/>
  <c r="R178" i="18" s="1"/>
  <c r="M124" i="18"/>
  <c r="N124" i="18" s="1"/>
  <c r="R124" i="18" s="1"/>
  <c r="M21" i="18"/>
  <c r="N21" i="18" s="1"/>
  <c r="R21" i="18" s="1"/>
  <c r="M143" i="18"/>
  <c r="N143" i="18" s="1"/>
  <c r="R143" i="18" s="1"/>
  <c r="M159" i="18"/>
  <c r="N159" i="18" s="1"/>
  <c r="R159" i="18" s="1"/>
  <c r="M174" i="18"/>
  <c r="N174" i="18" s="1"/>
  <c r="R174" i="18" s="1"/>
  <c r="M47" i="18"/>
  <c r="N47" i="18" s="1"/>
  <c r="R47" i="18" s="1"/>
  <c r="M63" i="18"/>
  <c r="N63" i="18" s="1"/>
  <c r="R63" i="18" s="1"/>
  <c r="M24" i="18"/>
  <c r="N24" i="18" s="1"/>
  <c r="R24" i="18" s="1"/>
  <c r="M110" i="18"/>
  <c r="N110" i="18" s="1"/>
  <c r="R110" i="18" s="1"/>
  <c r="M51" i="18"/>
  <c r="N51" i="18" s="1"/>
  <c r="R51" i="18" s="1"/>
  <c r="M85" i="18"/>
  <c r="N85" i="18" s="1"/>
  <c r="R85" i="18" s="1"/>
  <c r="M187" i="18"/>
  <c r="N187" i="18" s="1"/>
  <c r="R187" i="18" s="1"/>
  <c r="M203" i="18"/>
  <c r="N203" i="18" s="1"/>
  <c r="R203" i="18" s="1"/>
  <c r="M142" i="18"/>
  <c r="N142" i="18" s="1"/>
  <c r="R142" i="18" s="1"/>
  <c r="M93" i="18"/>
  <c r="N93" i="18" s="1"/>
  <c r="R93" i="18" s="1"/>
  <c r="M175" i="18"/>
  <c r="N175" i="18" s="1"/>
  <c r="R175" i="18" s="1"/>
  <c r="M135" i="18"/>
  <c r="N135" i="18" s="1"/>
  <c r="R135" i="18" s="1"/>
  <c r="M58" i="18"/>
  <c r="N58" i="18" s="1"/>
  <c r="R58" i="18" s="1"/>
  <c r="M34" i="18"/>
  <c r="N34" i="18" s="1"/>
  <c r="R34" i="18" s="1"/>
  <c r="M52" i="18"/>
  <c r="N52" i="18" s="1"/>
  <c r="R52" i="18" s="1"/>
  <c r="M25" i="18"/>
  <c r="N25" i="18" s="1"/>
  <c r="R25" i="18" s="1"/>
  <c r="M56" i="18"/>
  <c r="M116" i="18"/>
  <c r="N116" i="18" s="1"/>
  <c r="R116" i="18" s="1"/>
  <c r="M39" i="18"/>
  <c r="N39" i="18" s="1"/>
  <c r="R39" i="18" s="1"/>
  <c r="M64" i="18"/>
  <c r="N64" i="18" s="1"/>
  <c r="R64" i="18" s="1"/>
  <c r="M76" i="18"/>
  <c r="N76" i="18" s="1"/>
  <c r="R76" i="18" s="1"/>
  <c r="M123" i="18"/>
  <c r="N123" i="18" s="1"/>
  <c r="R123" i="18" s="1"/>
  <c r="M31" i="18"/>
  <c r="N31" i="18" s="1"/>
  <c r="R31" i="18" s="1"/>
  <c r="M170" i="18"/>
  <c r="N170" i="18" s="1"/>
  <c r="R170" i="18" s="1"/>
  <c r="M201" i="18"/>
  <c r="N201" i="18" s="1"/>
  <c r="R201" i="18" s="1"/>
  <c r="M177" i="18"/>
  <c r="N177" i="18" s="1"/>
  <c r="R177" i="18" s="1"/>
  <c r="M185" i="18"/>
  <c r="N185" i="18" s="1"/>
  <c r="R185" i="18" s="1"/>
  <c r="M163" i="18"/>
  <c r="N163" i="18" s="1"/>
  <c r="R163" i="18" s="1"/>
  <c r="M198" i="18"/>
  <c r="N198" i="18" s="1"/>
  <c r="R198" i="18" s="1"/>
  <c r="M126" i="18"/>
  <c r="N126" i="18" s="1"/>
  <c r="R126" i="18" s="1"/>
  <c r="M157" i="18"/>
  <c r="N157" i="18" s="1"/>
  <c r="R157" i="18" s="1"/>
  <c r="M33" i="18"/>
  <c r="N33" i="18" s="1"/>
  <c r="R33" i="18" s="1"/>
  <c r="M59" i="18"/>
  <c r="N59" i="18" s="1"/>
  <c r="R59" i="18" s="1"/>
  <c r="M112" i="18"/>
  <c r="N112" i="18" s="1"/>
  <c r="R112" i="18" s="1"/>
  <c r="M210" i="18"/>
  <c r="N210" i="18" s="1"/>
  <c r="R210" i="18" s="1"/>
  <c r="M106" i="18"/>
  <c r="N106" i="18" s="1"/>
  <c r="R106" i="18" s="1"/>
  <c r="M147" i="18"/>
  <c r="N147" i="18" s="1"/>
  <c r="R147" i="18" s="1"/>
  <c r="M23" i="18"/>
  <c r="N23" i="18" s="1"/>
  <c r="R23" i="18" s="1"/>
  <c r="M97" i="18"/>
  <c r="N97" i="18" s="1"/>
  <c r="R97" i="18" s="1"/>
  <c r="M186" i="18"/>
  <c r="N186" i="18" s="1"/>
  <c r="R186" i="18" s="1"/>
  <c r="M161" i="18"/>
  <c r="N161" i="18" s="1"/>
  <c r="R161" i="18" s="1"/>
  <c r="M211" i="18"/>
  <c r="N211" i="18" s="1"/>
  <c r="R211" i="18" s="1"/>
  <c r="M103" i="18"/>
  <c r="N103" i="18" s="1"/>
  <c r="R103" i="18" s="1"/>
  <c r="M113" i="18"/>
  <c r="N113" i="18" s="1"/>
  <c r="R113" i="18" s="1"/>
  <c r="M138" i="18"/>
  <c r="N138" i="18" s="1"/>
  <c r="R138" i="18" s="1"/>
  <c r="M79" i="18"/>
  <c r="N79" i="18" s="1"/>
  <c r="R79" i="18" s="1"/>
  <c r="M32" i="18"/>
  <c r="N32" i="18" s="1"/>
  <c r="R32" i="18" s="1"/>
  <c r="M181" i="18"/>
  <c r="N181" i="18" s="1"/>
  <c r="R181" i="18" s="1"/>
  <c r="M28" i="18"/>
  <c r="N28" i="18" s="1"/>
  <c r="R28" i="18" s="1"/>
  <c r="M118" i="18"/>
  <c r="N118" i="18" s="1"/>
  <c r="R118" i="18" s="1"/>
  <c r="M179" i="18"/>
  <c r="N179" i="18" s="1"/>
  <c r="R179" i="18" s="1"/>
  <c r="M125" i="18"/>
  <c r="N125" i="18" s="1"/>
  <c r="R125" i="18" s="1"/>
  <c r="M36" i="18"/>
  <c r="N36" i="18" s="1"/>
  <c r="R36" i="18" s="1"/>
  <c r="M190" i="18"/>
  <c r="N190" i="18" s="1"/>
  <c r="R190" i="18" s="1"/>
  <c r="M111" i="18"/>
  <c r="N111" i="18" s="1"/>
  <c r="R111" i="18" s="1"/>
  <c r="M74" i="18"/>
  <c r="N74" i="18" s="1"/>
  <c r="R74" i="18" s="1"/>
  <c r="M35" i="18"/>
  <c r="N35" i="18" s="1"/>
  <c r="R35" i="18" s="1"/>
  <c r="M131" i="18"/>
  <c r="N131" i="18" s="1"/>
  <c r="R131" i="18" s="1"/>
  <c r="M109" i="18"/>
  <c r="N109" i="18" s="1"/>
  <c r="R109" i="18" s="1"/>
  <c r="M91" i="18"/>
  <c r="N91" i="18" s="1"/>
  <c r="R91" i="18" s="1"/>
  <c r="M88" i="18"/>
  <c r="N88" i="18" s="1"/>
  <c r="R88" i="18" s="1"/>
  <c r="M95" i="18"/>
  <c r="N95" i="18" s="1"/>
  <c r="R95" i="18" s="1"/>
  <c r="M148" i="18"/>
  <c r="N148" i="18" s="1"/>
  <c r="R148" i="18" s="1"/>
  <c r="M191" i="18"/>
  <c r="N191" i="18" s="1"/>
  <c r="R191" i="18" s="1"/>
  <c r="M144" i="18"/>
  <c r="N144" i="18" s="1"/>
  <c r="R144" i="18" s="1"/>
  <c r="M49" i="18"/>
  <c r="N49" i="18" s="1"/>
  <c r="R49" i="18" s="1"/>
  <c r="M61" i="18"/>
  <c r="N61" i="18" s="1"/>
  <c r="R61" i="18" s="1"/>
  <c r="M82" i="18"/>
  <c r="N82" i="18" s="1"/>
  <c r="R82" i="18" s="1"/>
  <c r="M30" i="18"/>
  <c r="N30" i="18" s="1"/>
  <c r="R30" i="18" s="1"/>
  <c r="M139" i="18"/>
  <c r="N139" i="18" s="1"/>
  <c r="R139" i="18" s="1"/>
  <c r="M22" i="18"/>
  <c r="N22" i="18" s="1"/>
  <c r="R22" i="18" s="1"/>
  <c r="M117" i="18"/>
  <c r="N117" i="18" s="1"/>
  <c r="R117" i="18" s="1"/>
  <c r="M65" i="18"/>
  <c r="N65" i="18" s="1"/>
  <c r="R65" i="18" s="1"/>
  <c r="M141" i="18"/>
  <c r="N141" i="18" s="1"/>
  <c r="R141" i="18" s="1"/>
  <c r="M172" i="18"/>
  <c r="N172" i="18" s="1"/>
  <c r="R172" i="18" s="1"/>
  <c r="M133" i="18"/>
  <c r="N133" i="18" s="1"/>
  <c r="R133" i="18" s="1"/>
  <c r="M46" i="18"/>
  <c r="N46" i="18" s="1"/>
  <c r="R46" i="18" s="1"/>
  <c r="M67" i="18"/>
  <c r="N67" i="18" s="1"/>
  <c r="R67" i="18" s="1"/>
  <c r="M180" i="18"/>
  <c r="N180" i="18" s="1"/>
  <c r="R180" i="18" s="1"/>
  <c r="M182" i="18"/>
  <c r="N182" i="18" s="1"/>
  <c r="R182" i="18" s="1"/>
  <c r="M184" i="18"/>
  <c r="N184" i="18" s="1"/>
  <c r="R184" i="18" s="1"/>
  <c r="M130" i="18"/>
  <c r="N130" i="18" s="1"/>
  <c r="R130" i="18" s="1"/>
  <c r="M54" i="18"/>
  <c r="N54" i="18" s="1"/>
  <c r="R54" i="18" s="1"/>
  <c r="M154" i="18"/>
  <c r="N154" i="18" s="1"/>
  <c r="R154" i="18" s="1"/>
  <c r="M29" i="18"/>
  <c r="N29" i="18" s="1"/>
  <c r="R29" i="18" s="1"/>
  <c r="M146" i="18"/>
  <c r="N146" i="18" s="1"/>
  <c r="R146" i="18" s="1"/>
  <c r="M81" i="18"/>
  <c r="N81" i="18" s="1"/>
  <c r="R81" i="18" s="1"/>
  <c r="M87" i="18"/>
  <c r="N87" i="18" s="1"/>
  <c r="R87" i="18" s="1"/>
  <c r="M150" i="18"/>
  <c r="N150" i="18" s="1"/>
  <c r="R150" i="18" s="1"/>
  <c r="M99" i="18"/>
  <c r="N99" i="18" s="1"/>
  <c r="R99" i="18" s="1"/>
  <c r="M26" i="18"/>
  <c r="N26" i="18" s="1"/>
  <c r="R26" i="18" s="1"/>
  <c r="M120" i="18"/>
  <c r="N120" i="18" s="1"/>
  <c r="R120" i="18" s="1"/>
  <c r="M194" i="18"/>
  <c r="N194" i="18" s="1"/>
  <c r="R194" i="18" s="1"/>
  <c r="M152" i="18"/>
  <c r="N152" i="18" s="1"/>
  <c r="R152" i="18" s="1"/>
  <c r="M165" i="18"/>
  <c r="N165" i="18" s="1"/>
  <c r="R165" i="18" s="1"/>
  <c r="M155" i="18"/>
  <c r="N155" i="18" s="1"/>
  <c r="R155" i="18" s="1"/>
  <c r="M212" i="18" l="1"/>
  <c r="N20" i="18"/>
  <c r="M13" i="18"/>
  <c r="N56" i="18"/>
  <c r="R56" i="18" l="1"/>
  <c r="R13" i="18" s="1"/>
  <c r="N13" i="18"/>
  <c r="N14" i="18"/>
  <c r="R20" i="18"/>
  <c r="R212" i="18" l="1"/>
  <c r="R1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<sst xmlns="http://schemas.openxmlformats.org/spreadsheetml/2006/main" count="417" uniqueCount="101">
  <si>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</si>
  <si>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</si>
  <si>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</si>
  <si>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</si>
  <si>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</si>
  <si>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</si>
  <si>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</si>
  <si>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</si>
  <si>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</si>
  <si>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</si>
  <si>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</si>
  <si>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</si>
  <si>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</si>
  <si>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</si>
  <si>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</si>
  <si>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</si>
  <si>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</si>
  <si>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</si>
  <si>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</si>
  <si>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</si>
  <si>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</si>
  <si>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</si>
  <si>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</si>
  <si>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</si>
  <si>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</si>
  <si>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</si>
  <si>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</si>
  <si>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</si>
  <si>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</si>
  <si>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</si>
  <si>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</si>
  <si>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</si>
  <si>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</si>
  <si>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</si>
  <si>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</si>
  <si>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</si>
  <si>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</si>
  <si>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</si>
  <si>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</si>
  <si>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</si>
  <si>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</si>
  <si>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</si>
  <si>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</si>
  <si>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</si>
  <si>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</si>
  <si>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</si>
  <si>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</si>
  <si>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</si>
  <si>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</si>
  <si>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</si>
  <si>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</si>
  <si>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</si>
  <si>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</si>
  <si>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</si>
  <si>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</si>
  <si>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</si>
  <si>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</si>
  <si>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</si>
  <si>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</si>
  <si>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</si>
  <si>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</si>
  <si>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</si>
  <si>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</si>
  <si>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</si>
  <si>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</si>
  <si>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</si>
  <si>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</si>
  <si>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</si>
  <si>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</si>
  <si>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</si>
  <si>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</si>
  <si>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</si>
  <si>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</si>
  <si>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</si>
  <si>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</si>
  <si>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</si>
  <si>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</si>
  <si>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</si>
  <si>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</si>
  <si>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</si>
  <si>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</si>
  <si>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</si>
  <si>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</si>
  <si>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</si>
  <si>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</si>
  <si>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</si>
  <si>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</si>
  <si>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</si>
  <si>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</si>
  <si>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</si>
  <si>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</si>
  <si>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</si>
  <si>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</si>
  <si>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PUBLIC SERVICE COMPANY of OKLAHOMA &amp; SOUTHWESTERN ELECTRIC POWER</t>
  </si>
  <si>
    <t>AEPTCo Formula Rate -- FERC Docket ER18-195</t>
  </si>
  <si>
    <t>Network Customer True-Up (Schedule 1 charges)</t>
  </si>
  <si>
    <r>
      <t>2023 True-Up
(</t>
    </r>
    <r>
      <rPr>
        <sz val="10"/>
        <rFont val="Arial"/>
        <family val="2"/>
      </rPr>
      <t>w/o Interest)</t>
    </r>
  </si>
  <si>
    <t>2023 Interest</t>
  </si>
  <si>
    <t>Total 2023
True-Up Surcharge / (Refund)</t>
  </si>
  <si>
    <t xml:space="preserve"> Tax True Up</t>
  </si>
  <si>
    <t>2023 True Up Including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</si>
</sst>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38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6" xfId="2" applyNumberFormat="1" applyFont="1" applyBorder="1" applyProtection="1"/>
    <xf numFmtId="165" fontId="0" fillId="0" borderId="17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19" xfId="0" applyBorder="1" applyProtection="1"/>
    <xf numFmtId="0" fontId="9" fillId="3" borderId="20" xfId="0" quotePrefix="1" applyFont="1" applyFill="1" applyBorder="1" applyAlignment="1" applyProtection="1">
      <alignment horizontal="left" vertical="center" wrapText="1"/>
    </xf>
    <xf numFmtId="165" fontId="0" fillId="3" borderId="21" xfId="2" applyNumberFormat="1" applyFont="1" applyFill="1" applyBorder="1" applyAlignment="1" applyProtection="1">
      <alignment vertical="center"/>
    </xf>
    <xf numFmtId="165" fontId="0" fillId="3" borderId="22" xfId="2" applyNumberFormat="1" applyFont="1" applyFill="1" applyBorder="1" applyAlignment="1" applyProtection="1">
      <alignment vertical="center"/>
    </xf>
    <xf numFmtId="165" fontId="3" fillId="3" borderId="23" xfId="2" applyNumberFormat="1" applyFont="1" applyFill="1" applyBorder="1" applyAlignment="1" applyProtection="1">
      <alignment vertical="center"/>
    </xf>
    <xf numFmtId="0" fontId="0" fillId="0" borderId="25" xfId="0" quotePrefix="1" applyBorder="1" applyAlignment="1" applyProtection="1">
      <alignment horizontal="left"/>
    </xf>
    <xf numFmtId="0" fontId="0" fillId="0" borderId="18" xfId="0" applyBorder="1" applyProtection="1"/>
    <xf numFmtId="0" fontId="0" fillId="0" borderId="26" xfId="0" applyBorder="1" applyProtection="1"/>
    <xf numFmtId="0" fontId="9" fillId="0" borderId="20" xfId="0" quotePrefix="1" applyFont="1" applyFill="1" applyBorder="1" applyAlignment="1" applyProtection="1">
      <alignment horizontal="left" vertical="center" wrapText="1"/>
    </xf>
    <xf numFmtId="165" fontId="0" fillId="0" borderId="21" xfId="2" applyNumberFormat="1" applyFont="1" applyFill="1" applyBorder="1" applyAlignment="1" applyProtection="1">
      <alignment vertical="center"/>
    </xf>
    <xf numFmtId="165" fontId="0" fillId="0" borderId="22" xfId="2" applyNumberFormat="1" applyFont="1" applyFill="1" applyBorder="1" applyAlignment="1" applyProtection="1">
      <alignment vertical="center"/>
    </xf>
    <xf numFmtId="165" fontId="3" fillId="0" borderId="23" xfId="2" applyNumberFormat="1" applyFont="1" applyFill="1" applyBorder="1" applyAlignment="1" applyProtection="1">
      <alignment vertical="center"/>
    </xf>
    <xf numFmtId="166" fontId="0" fillId="0" borderId="0" xfId="1" applyNumberFormat="1" applyFont="1" applyProtection="1"/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7" xfId="2" applyNumberFormat="1" applyFont="1" applyBorder="1" applyAlignment="1" applyProtection="1">
      <alignment vertical="center"/>
    </xf>
    <xf numFmtId="165" fontId="0" fillId="0" borderId="28" xfId="2" applyNumberFormat="1" applyFont="1" applyBorder="1" applyAlignment="1" applyProtection="1">
      <alignment vertical="center"/>
    </xf>
    <xf numFmtId="165" fontId="0" fillId="0" borderId="29" xfId="2" applyNumberFormat="1" applyFont="1" applyBorder="1" applyAlignment="1" applyProtection="1">
      <alignment vertical="center"/>
    </xf>
    <xf numFmtId="166" fontId="0" fillId="0" borderId="0" xfId="0" applyNumberFormat="1" applyProtection="1"/>
    <xf numFmtId="0" fontId="0" fillId="0" borderId="34" xfId="0" applyBorder="1" applyProtection="1"/>
    <xf numFmtId="0" fontId="0" fillId="0" borderId="35" xfId="0" applyBorder="1" applyProtection="1"/>
    <xf numFmtId="0" fontId="0" fillId="0" borderId="34" xfId="0" pivotButton="1" applyBorder="1" applyProtection="1"/>
    <xf numFmtId="0" fontId="0" fillId="0" borderId="36" xfId="0" applyBorder="1" applyProtection="1"/>
    <xf numFmtId="17" fontId="0" fillId="0" borderId="34" xfId="0" applyNumberFormat="1" applyBorder="1" applyProtection="1"/>
    <xf numFmtId="17" fontId="0" fillId="0" borderId="37" xfId="0" applyNumberFormat="1" applyBorder="1" applyProtection="1"/>
    <xf numFmtId="17" fontId="0" fillId="0" borderId="38" xfId="0" applyNumberFormat="1" applyBorder="1" applyProtection="1"/>
    <xf numFmtId="166" fontId="0" fillId="0" borderId="34" xfId="0" applyNumberFormat="1" applyBorder="1" applyProtection="1"/>
    <xf numFmtId="166" fontId="0" fillId="0" borderId="37" xfId="0" applyNumberFormat="1" applyBorder="1" applyProtection="1"/>
    <xf numFmtId="166" fontId="0" fillId="0" borderId="38" xfId="0" applyNumberFormat="1" applyBorder="1" applyProtection="1"/>
    <xf numFmtId="0" fontId="0" fillId="0" borderId="39" xfId="0" applyBorder="1" applyProtection="1"/>
    <xf numFmtId="166" fontId="0" fillId="0" borderId="39" xfId="0" applyNumberFormat="1" applyBorder="1" applyProtection="1"/>
    <xf numFmtId="166" fontId="0" fillId="0" borderId="40" xfId="0" applyNumberFormat="1" applyBorder="1" applyProtection="1"/>
    <xf numFmtId="0" fontId="0" fillId="0" borderId="41" xfId="0" applyBorder="1" applyProtection="1"/>
    <xf numFmtId="166" fontId="0" fillId="0" borderId="41" xfId="0" applyNumberFormat="1" applyBorder="1" applyProtection="1"/>
    <xf numFmtId="166" fontId="0" fillId="0" borderId="42" xfId="0" applyNumberFormat="1" applyBorder="1" applyProtection="1"/>
    <xf numFmtId="166" fontId="0" fillId="0" borderId="43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5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0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4" fontId="4" fillId="0" borderId="0" xfId="0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0" xfId="0" quotePrefix="1" applyBorder="1" applyAlignment="1" applyProtection="1">
      <alignment horizontal="right"/>
    </xf>
    <xf numFmtId="0" fontId="0" fillId="0" borderId="22" xfId="0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164" fontId="3" fillId="0" borderId="24" xfId="0" applyNumberFormat="1" applyFont="1" applyBorder="1" applyAlignment="1" applyProtection="1">
      <alignment horizontal="right"/>
    </xf>
    <xf numFmtId="167" fontId="0" fillId="0" borderId="22" xfId="0" applyNumberFormat="1" applyBorder="1" applyAlignment="1" applyProtection="1">
      <alignment horizontal="center"/>
    </xf>
    <xf numFmtId="167" fontId="0" fillId="4" borderId="24" xfId="0" applyNumberFormat="1" applyFill="1" applyBorder="1" applyAlignment="1" applyProtection="1">
      <alignment horizontal="center"/>
    </xf>
    <xf numFmtId="167" fontId="0" fillId="0" borderId="31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6" xfId="0" applyNumberFormat="1" applyFont="1" applyBorder="1" applyAlignment="1" applyProtection="1">
      <alignment horizontal="right"/>
    </xf>
    <xf numFmtId="14" fontId="1" fillId="0" borderId="16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0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0" xfId="0" applyNumberFormat="1" applyFont="1" applyBorder="1" applyAlignment="1" applyProtection="1">
      <alignment horizontal="center"/>
    </xf>
    <xf numFmtId="14" fontId="0" fillId="0" borderId="16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0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2" xfId="0" quotePrefix="1" applyFont="1" applyBorder="1" applyAlignment="1" applyProtection="1">
      <alignment horizontal="center"/>
    </xf>
    <xf numFmtId="164" fontId="4" fillId="0" borderId="21" xfId="0" quotePrefix="1" applyNumberFormat="1" applyFont="1" applyBorder="1" applyAlignment="1" applyProtection="1">
      <alignment horizontal="center" vertical="center" wrapText="1"/>
    </xf>
    <xf numFmtId="0" fontId="4" fillId="0" borderId="22" xfId="0" quotePrefix="1" applyFont="1" applyBorder="1" applyAlignment="1" applyProtection="1">
      <alignment horizontal="center" vertical="center" wrapText="1"/>
    </xf>
    <xf numFmtId="164" fontId="4" fillId="5" borderId="22" xfId="0" quotePrefix="1" applyNumberFormat="1" applyFont="1" applyFill="1" applyBorder="1" applyAlignment="1" applyProtection="1">
      <alignment horizontal="center" vertical="center" wrapText="1"/>
    </xf>
    <xf numFmtId="164" fontId="4" fillId="0" borderId="22" xfId="0" applyNumberFormat="1" applyFont="1" applyBorder="1" applyAlignment="1" applyProtection="1">
      <alignment horizontal="center" vertical="center" wrapText="1"/>
    </xf>
    <xf numFmtId="164" fontId="4" fillId="0" borderId="31" xfId="0" applyNumberFormat="1" applyFont="1" applyBorder="1" applyAlignment="1" applyProtection="1">
      <alignment horizontal="center" vertical="center" wrapText="1"/>
    </xf>
    <xf numFmtId="164" fontId="4" fillId="0" borderId="32" xfId="0" applyNumberFormat="1" applyFont="1" applyBorder="1" applyAlignment="1" applyProtection="1">
      <alignment horizontal="center" vertical="center" wrapText="1"/>
    </xf>
    <xf numFmtId="164" fontId="4" fillId="0" borderId="26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8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3" xfId="0" applyNumberFormat="1" applyBorder="1" applyAlignment="1" applyProtection="1">
      <alignment horizontal="center"/>
    </xf>
    <xf numFmtId="14" fontId="1" fillId="0" borderId="33" xfId="0" applyNumberFormat="1" applyFont="1" applyFill="1" applyBorder="1" applyProtection="1"/>
    <xf numFmtId="14" fontId="7" fillId="2" borderId="33" xfId="0" applyNumberFormat="1" applyFont="1" applyFill="1" applyBorder="1" applyAlignment="1" applyProtection="1">
      <alignment horizontal="left"/>
    </xf>
    <xf numFmtId="0" fontId="0" fillId="0" borderId="33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3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18" xfId="0" applyNumberFormat="1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44" xfId="0" applyBorder="1" applyProtection="1"/>
    <xf numFmtId="0" fontId="0" fillId="0" borderId="45" xfId="0" applyBorder="1" applyProtection="1"/>
    <xf numFmtId="0" fontId="0" fillId="0" borderId="0" xfId="0" quotePrefix="1" applyBorder="1" applyAlignment="1" applyProtection="1">
      <alignment horizontal="center"/>
    </xf>
    <xf numFmtId="167" fontId="7" fillId="6" borderId="24" xfId="0" applyNumberFormat="1" applyFont="1" applyFill="1" applyBorder="1" applyAlignment="1" applyProtection="1">
      <alignment horizontal="center"/>
    </xf>
    <xf numFmtId="164" fontId="4" fillId="0" borderId="14" xfId="0" quotePrefix="1" applyNumberFormat="1" applyFont="1" applyFill="1" applyBorder="1" applyAlignment="1" applyProtection="1">
      <alignment horizontal="center" wrapText="1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22" xfId="0" quotePrefix="1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14" fontId="7" fillId="6" borderId="0" xfId="3" applyNumberFormat="1" applyFont="1" applyFill="1"/>
    <xf numFmtId="14" fontId="7" fillId="2" borderId="8" xfId="3" applyNumberFormat="1" applyFont="1" applyFill="1" applyBorder="1"/>
    <xf numFmtId="14" fontId="7" fillId="6" borderId="8" xfId="3" applyNumberFormat="1" applyFont="1" applyFill="1" applyBorder="1"/>
    <xf numFmtId="10" fontId="24" fillId="0" borderId="0" xfId="4" quotePrefix="1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center"/>
    </xf>
    <xf numFmtId="164" fontId="4" fillId="0" borderId="22" xfId="0" quotePrefix="1" applyNumberFormat="1" applyFont="1" applyFill="1" applyBorder="1" applyAlignment="1" applyProtection="1">
      <alignment horizontal="center" vertical="center" wrapText="1"/>
    </xf>
    <xf numFmtId="166" fontId="25" fillId="0" borderId="39" xfId="0" applyNumberFormat="1" applyFont="1" applyBorder="1" applyProtection="1"/>
    <xf numFmtId="166" fontId="25" fillId="0" borderId="0" xfId="0" applyNumberFormat="1" applyFont="1" applyProtection="1"/>
    <xf numFmtId="166" fontId="25" fillId="0" borderId="40" xfId="0" applyNumberFormat="1" applyFont="1" applyBorder="1" applyProtection="1"/>
    <xf numFmtId="166" fontId="25" fillId="0" borderId="34" xfId="0" applyNumberFormat="1" applyFont="1" applyBorder="1" applyProtection="1"/>
    <xf numFmtId="166" fontId="25" fillId="0" borderId="37" xfId="0" applyNumberFormat="1" applyFont="1" applyBorder="1" applyProtection="1"/>
    <xf numFmtId="166" fontId="25" fillId="0" borderId="38" xfId="0" applyNumberFormat="1" applyFont="1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75747" refreshedDate="45436.338592245367" createdVersion="6" refreshedVersion="8" recordCount="192" xr:uid="{00000000-000A-0000-FFFF-FFFFDA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3-12-02T00:00:00" count="168"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2-01-01T00:00:00" u="1"/>
        <d v="2022-02-01T00:00:00" u="1"/>
        <d v="2022-03-01T00:00:00" u="1"/>
        <d v="2022-04-01T00:00:00" u="1"/>
        <d v="2022-05-01T00:00:00" u="1"/>
        <d v="2022-06-01T00:00:00" u="1"/>
        <d v="2022-07-01T00:00:00" u="1"/>
        <d v="2022-08-01T00:00:00" u="1"/>
        <d v="2022-09-01T00:00:00" u="1"/>
        <d v="2022-10-01T00:00:00" u="1"/>
        <d v="2022-11-01T00:00:00" u="1"/>
        <d v="2022-12-01T00:00:00" u="1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21-05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21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21-06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21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21-01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21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21-02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21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21-03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21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21-04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21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3-02-03T00:00:00" maxDate="2024-01-04T00:00:00"/>
    </cacheField>
    <cacheField name="Payment Received*" numFmtId="14">
      <sharedItems containsSemiMixedTypes="0" containsNonDate="0" containsDate="1" containsString="0" minDate="2023-02-24T00:00:00" maxDate="2024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265"/>
    </cacheField>
    <cacheField name="Projected Rate (as Invoiced)" numFmtId="164">
      <sharedItems containsSemiMixedTypes="0" containsString="0" containsNumber="1" minValue="6.4194773820210456" maxValue="6.4194773820210456"/>
    </cacheField>
    <cacheField name="Actual True-Up Rate" numFmtId="164">
      <sharedItems containsSemiMixedTypes="0" containsString="0" containsNumber="1" minValue="4.0101906396130911" maxValue="4.0101906396130911"/>
    </cacheField>
    <cacheField name="True-Up Charge" numFmtId="164">
      <sharedItems containsSemiMixedTypes="0" containsString="0" containsNumber="1" minValue="4.0101906396130911" maxValue="17103.463077949833"/>
    </cacheField>
    <cacheField name="Invoiced*** Charge (proj.)" numFmtId="164">
      <sharedItems containsSemiMixedTypes="0" containsString="0" containsNumber="1" minValue="6.4194773820210456" maxValue="27379.071034319761"/>
    </cacheField>
    <cacheField name="True-Up w/o Interest" numFmtId="164">
      <sharedItems containsSemiMixedTypes="0" containsString="0" containsNumber="1" minValue="-10275.607956369928" maxValue="-2.4092867424079545"/>
    </cacheField>
    <cacheField name="Interest" numFmtId="164">
      <sharedItems containsSemiMixedTypes="0" containsString="0" containsNumber="1" minValue="-842.39914355054202" maxValue="-0.1975144533529993"/>
    </cacheField>
    <cacheField name="2020 True Up Including Interest" numFmtId="164">
      <sharedItems containsSemiMixedTypes="0" containsString="0" containsNumber="1" minValue="-11118.007099920469" maxValue="-2.6068011957609536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-11118.007099920469" maxValue="-2.60680119576095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3-02-03T00:00:00"/>
    <d v="2023-02-24T00:00:00"/>
    <x v="0"/>
    <n v="9"/>
    <n v="2810"/>
    <n v="6.4194773820210456"/>
    <n v="4.0101906396130911"/>
    <n v="11268.635697312786"/>
    <n v="18038.731443479137"/>
    <n v="-6770.0957461663511"/>
    <n v="-555.01561392192798"/>
    <n v="-7325.1113600882791"/>
    <n v="0"/>
    <n v="0"/>
    <n v="0"/>
    <n v="-7325.1113600882791"/>
  </r>
  <r>
    <x v="1"/>
    <d v="2023-03-03T00:00:00"/>
    <d v="2023-03-24T00:00:00"/>
    <x v="0"/>
    <n v="9"/>
    <n v="2771"/>
    <n v="6.4194773820210456"/>
    <n v="4.0101906396130911"/>
    <n v="11112.238262367875"/>
    <n v="17788.371825580318"/>
    <n v="-6676.1335632124428"/>
    <n v="-547.31255024116103"/>
    <n v="-7223.4461134536041"/>
    <n v="0"/>
    <n v="0"/>
    <n v="0"/>
    <n v="-7223.4461134536041"/>
  </r>
  <r>
    <x v="2"/>
    <d v="2023-04-05T00:00:00"/>
    <d v="2023-04-24T00:00:00"/>
    <x v="0"/>
    <n v="9"/>
    <n v="2389"/>
    <n v="6.4194773820210456"/>
    <n v="4.0101906396130911"/>
    <n v="9580.3454380356743"/>
    <n v="15336.131465648277"/>
    <n v="-5755.786027612603"/>
    <n v="-471.86202906031536"/>
    <n v="-6227.6480566729188"/>
    <n v="0"/>
    <n v="0"/>
    <n v="0"/>
    <n v="-6227.6480566729188"/>
  </r>
  <r>
    <x v="3"/>
    <d v="2023-05-03T00:00:00"/>
    <d v="2023-05-24T00:00:00"/>
    <x v="0"/>
    <n v="9"/>
    <n v="2392"/>
    <n v="6.4194773820210456"/>
    <n v="4.0101906396130911"/>
    <n v="9592.3760099545143"/>
    <n v="15355.389897794341"/>
    <n v="-5763.0138878398266"/>
    <n v="-472.45457242037435"/>
    <n v="-6235.468460260201"/>
    <n v="0"/>
    <n v="0"/>
    <n v="0"/>
    <n v="-6235.468460260201"/>
  </r>
  <r>
    <x v="4"/>
    <d v="2023-06-05T00:00:00"/>
    <d v="2023-06-26T00:00:00"/>
    <x v="0"/>
    <n v="9"/>
    <n v="3231"/>
    <n v="6.4194773820210456"/>
    <n v="4.0101906396130911"/>
    <n v="12956.925956589897"/>
    <n v="20741.331421309998"/>
    <n v="-7784.405464720101"/>
    <n v="-638.16919878354076"/>
    <n v="-8422.5746635036412"/>
    <n v="0"/>
    <n v="0"/>
    <n v="0"/>
    <n v="-8422.5746635036412"/>
  </r>
  <r>
    <x v="5"/>
    <d v="2023-07-05T00:00:00"/>
    <d v="2023-07-24T00:00:00"/>
    <x v="0"/>
    <n v="9"/>
    <n v="4100"/>
    <n v="6.4194773820210456"/>
    <n v="4.0101906396130911"/>
    <n v="16441.781622413673"/>
    <n v="26319.857266286286"/>
    <n v="-9878.075643872613"/>
    <n v="-809.80925874729712"/>
    <n v="-10687.88490261991"/>
    <n v="0"/>
    <n v="0"/>
    <n v="0"/>
    <n v="-10687.88490261991"/>
  </r>
  <r>
    <x v="6"/>
    <d v="2023-08-03T00:00:00"/>
    <d v="2023-08-24T00:00:00"/>
    <x v="0"/>
    <n v="9"/>
    <n v="3988"/>
    <n v="6.4194773820210456"/>
    <n v="4.0101906396130911"/>
    <n v="15992.640270777007"/>
    <n v="25600.875799499929"/>
    <n v="-9608.235528722922"/>
    <n v="-787.68763997176131"/>
    <n v="-10395.923168694684"/>
    <n v="0"/>
    <n v="0"/>
    <n v="0"/>
    <n v="-10395.923168694684"/>
  </r>
  <r>
    <x v="7"/>
    <d v="2023-09-05T00:00:00"/>
    <d v="2023-09-25T00:00:00"/>
    <x v="0"/>
    <n v="9"/>
    <n v="4265"/>
    <n v="6.4194773820210456"/>
    <n v="4.0101906396130911"/>
    <n v="17103.463077949833"/>
    <n v="27379.071034319761"/>
    <n v="-10275.607956369928"/>
    <n v="-842.39914355054202"/>
    <n v="-11118.007099920469"/>
    <n v="0"/>
    <n v="0"/>
    <n v="0"/>
    <n v="-11118.007099920469"/>
  </r>
  <r>
    <x v="8"/>
    <d v="2023-10-04T00:00:00"/>
    <d v="2023-10-24T00:00:00"/>
    <x v="0"/>
    <n v="9"/>
    <n v="4016"/>
    <n v="6.4194773820210456"/>
    <n v="4.0101906396130911"/>
    <n v="16104.925608686173"/>
    <n v="25780.621166196521"/>
    <n v="-9675.6955575103475"/>
    <n v="-793.21804466564527"/>
    <n v="-10468.913602175993"/>
    <n v="0"/>
    <n v="0"/>
    <n v="0"/>
    <n v="-10468.913602175993"/>
  </r>
  <r>
    <x v="9"/>
    <d v="2023-11-03T00:00:00"/>
    <d v="2023-11-24T00:00:00"/>
    <x v="0"/>
    <n v="9"/>
    <n v="3105"/>
    <n v="6.4194773820210456"/>
    <n v="4.0101906396130911"/>
    <n v="12451.641935998648"/>
    <n v="19932.477271175347"/>
    <n v="-7480.8353351766982"/>
    <n v="-613.28237766106292"/>
    <n v="-8094.1177128377612"/>
    <n v="0"/>
    <n v="0"/>
    <n v="0"/>
    <n v="-8094.1177128377612"/>
  </r>
  <r>
    <x v="10"/>
    <d v="2023-12-06T00:00:00"/>
    <d v="2023-12-25T00:00:00"/>
    <x v="0"/>
    <n v="9"/>
    <n v="2513"/>
    <n v="6.4194773820210456"/>
    <n v="4.0101906396130911"/>
    <n v="10077.609077347697"/>
    <n v="16132.146661018887"/>
    <n v="-6054.5375836711901"/>
    <n v="-496.35382127608727"/>
    <n v="-6550.8914049472769"/>
    <n v="0"/>
    <n v="0"/>
    <n v="0"/>
    <n v="-6550.8914049472769"/>
  </r>
  <r>
    <x v="11"/>
    <d v="2024-01-03T00:00:00"/>
    <d v="2024-01-24T00:00:00"/>
    <x v="0"/>
    <n v="9"/>
    <n v="2474"/>
    <n v="6.4194773820210456"/>
    <n v="4.0101906396130911"/>
    <n v="9921.2116424027881"/>
    <n v="15881.787043120066"/>
    <n v="-5960.5754007172782"/>
    <n v="-488.65075759532027"/>
    <n v="-6449.2261583125983"/>
    <n v="0"/>
    <n v="0"/>
    <n v="0"/>
    <n v="-6449.2261583125983"/>
  </r>
  <r>
    <x v="0"/>
    <d v="2023-02-03T00:00:00"/>
    <d v="2023-02-24T00:00:00"/>
    <x v="1"/>
    <n v="9"/>
    <n v="2724"/>
    <n v="6.4194773820210456"/>
    <n v="4.0101906396130911"/>
    <n v="10923.75930230606"/>
    <n v="17486.656388625328"/>
    <n v="-6562.8970863192681"/>
    <n v="-538.02937093357014"/>
    <n v="-7100.9264572528382"/>
    <n v="0"/>
    <n v="0"/>
    <n v="0"/>
    <n v="-7100.9264572528382"/>
  </r>
  <r>
    <x v="1"/>
    <d v="2023-03-03T00:00:00"/>
    <d v="2023-03-24T00:00:00"/>
    <x v="1"/>
    <n v="9"/>
    <n v="2757"/>
    <n v="6.4194773820210456"/>
    <n v="4.0101906396130911"/>
    <n v="11056.095593413293"/>
    <n v="17698.499142232024"/>
    <n v="-6642.403548818731"/>
    <n v="-544.54734789421912"/>
    <n v="-7186.9508967129505"/>
    <n v="0"/>
    <n v="0"/>
    <n v="0"/>
    <n v="-7186.9508967129505"/>
  </r>
  <r>
    <x v="2"/>
    <d v="2023-04-05T00:00:00"/>
    <d v="2023-04-24T00:00:00"/>
    <x v="1"/>
    <n v="9"/>
    <n v="2641"/>
    <n v="6.4194773820210456"/>
    <n v="4.0101906396130911"/>
    <n v="10590.913479218174"/>
    <n v="16953.839765917583"/>
    <n v="-6362.9262866994086"/>
    <n v="-521.63567130527122"/>
    <n v="-6884.5619580046796"/>
    <n v="0"/>
    <n v="0"/>
    <n v="0"/>
    <n v="-6884.5619580046796"/>
  </r>
  <r>
    <x v="3"/>
    <d v="2023-05-03T00:00:00"/>
    <d v="2023-05-24T00:00:00"/>
    <x v="1"/>
    <n v="9"/>
    <n v="2417"/>
    <n v="6.4194773820210456"/>
    <n v="4.0101906396130911"/>
    <n v="9692.6307759448409"/>
    <n v="15515.876832344868"/>
    <n v="-5823.2460564000266"/>
    <n v="-477.39243375419932"/>
    <n v="-6300.638490154226"/>
    <n v="0"/>
    <n v="0"/>
    <n v="0"/>
    <n v="-6300.638490154226"/>
  </r>
  <r>
    <x v="4"/>
    <d v="2023-06-05T00:00:00"/>
    <d v="2023-06-26T00:00:00"/>
    <x v="1"/>
    <n v="9"/>
    <n v="2844"/>
    <n v="6.4194773820210456"/>
    <n v="4.0101906396130911"/>
    <n v="11404.982179059631"/>
    <n v="18256.993674467853"/>
    <n v="-6852.0114954082219"/>
    <n v="-561.73110533593001"/>
    <n v="-7413.7426007441518"/>
    <n v="0"/>
    <n v="0"/>
    <n v="0"/>
    <n v="-7413.7426007441518"/>
  </r>
  <r>
    <x v="5"/>
    <d v="2023-07-05T00:00:00"/>
    <d v="2023-07-24T00:00:00"/>
    <x v="1"/>
    <n v="9"/>
    <n v="3500"/>
    <n v="6.4194773820210456"/>
    <n v="4.0101906396130911"/>
    <n v="14035.667238645819"/>
    <n v="22468.17083707366"/>
    <n v="-8432.5035984278402"/>
    <n v="-691.30058673549752"/>
    <n v="-9123.804185163337"/>
    <n v="0"/>
    <n v="0"/>
    <n v="0"/>
    <n v="-9123.804185163337"/>
  </r>
  <r>
    <x v="6"/>
    <d v="2023-08-03T00:00:00"/>
    <d v="2023-08-24T00:00:00"/>
    <x v="1"/>
    <n v="9"/>
    <n v="3569"/>
    <n v="6.4194773820210456"/>
    <n v="4.0101906396130911"/>
    <n v="14312.370392779121"/>
    <n v="22911.114776433111"/>
    <n v="-8598.7443836539896"/>
    <n v="-704.92908401685452"/>
    <n v="-9303.6734676708438"/>
    <n v="0"/>
    <n v="0"/>
    <n v="0"/>
    <n v="-9303.6734676708438"/>
  </r>
  <r>
    <x v="7"/>
    <d v="2023-09-05T00:00:00"/>
    <d v="2023-09-25T00:00:00"/>
    <x v="1"/>
    <n v="9"/>
    <n v="3766"/>
    <n v="6.4194773820210456"/>
    <n v="4.0101906396130911"/>
    <n v="15102.377948782902"/>
    <n v="24175.751820691257"/>
    <n v="-9073.3738719083558"/>
    <n v="-743.83943132739535"/>
    <n v="-9817.2133032357506"/>
    <n v="0"/>
    <n v="0"/>
    <n v="0"/>
    <n v="-9817.2133032357506"/>
  </r>
  <r>
    <x v="8"/>
    <d v="2023-10-04T00:00:00"/>
    <d v="2023-10-24T00:00:00"/>
    <x v="1"/>
    <n v="9"/>
    <n v="3456"/>
    <n v="6.4194773820210456"/>
    <n v="4.0101906396130911"/>
    <n v="13859.218850502843"/>
    <n v="22185.713832264733"/>
    <n v="-8326.4949817618908"/>
    <n v="-682.60995078796566"/>
    <n v="-9009.104932549857"/>
    <n v="0"/>
    <n v="0"/>
    <n v="0"/>
    <n v="-9009.104932549857"/>
  </r>
  <r>
    <x v="9"/>
    <d v="2023-11-03T00:00:00"/>
    <d v="2023-11-24T00:00:00"/>
    <x v="1"/>
    <n v="9"/>
    <n v="2810"/>
    <n v="6.4194773820210456"/>
    <n v="4.0101906396130911"/>
    <n v="11268.635697312786"/>
    <n v="18038.731443479137"/>
    <n v="-6770.0957461663511"/>
    <n v="-555.01561392192798"/>
    <n v="-7325.1113600882791"/>
    <n v="0"/>
    <n v="0"/>
    <n v="0"/>
    <n v="-7325.1113600882791"/>
  </r>
  <r>
    <x v="10"/>
    <d v="2023-12-06T00:00:00"/>
    <d v="2023-12-25T00:00:00"/>
    <x v="1"/>
    <n v="9"/>
    <n v="2499"/>
    <n v="6.4194773820210456"/>
    <n v="4.0101906396130911"/>
    <n v="10021.466408393115"/>
    <n v="16042.273977670593"/>
    <n v="-6020.8075692774783"/>
    <n v="-493.5886189291453"/>
    <n v="-6514.3961882066233"/>
    <n v="0"/>
    <n v="0"/>
    <n v="0"/>
    <n v="-6514.3961882066233"/>
  </r>
  <r>
    <x v="11"/>
    <d v="2024-01-03T00:00:00"/>
    <d v="2024-01-24T00:00:00"/>
    <x v="1"/>
    <n v="9"/>
    <n v="2532"/>
    <n v="6.4194773820210456"/>
    <n v="4.0101906396130911"/>
    <n v="10153.802699500347"/>
    <n v="16254.116731277287"/>
    <n v="-6100.3140317769394"/>
    <n v="-500.10659588979422"/>
    <n v="-6600.4206276667337"/>
    <n v="0"/>
    <n v="0"/>
    <n v="0"/>
    <n v="-6600.4206276667337"/>
  </r>
  <r>
    <x v="0"/>
    <d v="2023-02-03T00:00:00"/>
    <d v="2023-02-24T00:00:00"/>
    <x v="2"/>
    <n v="9"/>
    <n v="137"/>
    <n v="6.4194773820210456"/>
    <n v="4.0101906396130911"/>
    <n v="549.39611762699349"/>
    <n v="879.46840133688329"/>
    <n v="-330.0722837098898"/>
    <n v="-27.059480109360905"/>
    <n v="-357.13176381925069"/>
    <n v="0"/>
    <n v="0"/>
    <n v="0"/>
    <n v="-357.13176381925069"/>
  </r>
  <r>
    <x v="1"/>
    <d v="2023-03-03T00:00:00"/>
    <d v="2023-03-24T00:00:00"/>
    <x v="2"/>
    <n v="9"/>
    <n v="132"/>
    <n v="6.4194773820210456"/>
    <n v="4.0101906396130911"/>
    <n v="529.345164428928"/>
    <n v="847.37101442677806"/>
    <n v="-318.02584999785006"/>
    <n v="-26.071907842595909"/>
    <n v="-344.09775784044598"/>
    <n v="0"/>
    <n v="0"/>
    <n v="0"/>
    <n v="-344.09775784044598"/>
  </r>
  <r>
    <x v="2"/>
    <d v="2023-04-05T00:00:00"/>
    <d v="2023-04-24T00:00:00"/>
    <x v="2"/>
    <n v="9"/>
    <n v="148"/>
    <n v="6.4194773820210456"/>
    <n v="4.0101906396130911"/>
    <n v="593.50821466273749"/>
    <n v="950.08265253911475"/>
    <n v="-356.57443787637726"/>
    <n v="-29.232139096243895"/>
    <n v="-385.80657697262114"/>
    <n v="0"/>
    <n v="0"/>
    <n v="0"/>
    <n v="-385.80657697262114"/>
  </r>
  <r>
    <x v="3"/>
    <d v="2023-05-03T00:00:00"/>
    <d v="2023-05-24T00:00:00"/>
    <x v="2"/>
    <n v="9"/>
    <n v="92"/>
    <n v="6.4194773820210456"/>
    <n v="4.0101906396130911"/>
    <n v="368.9375388444044"/>
    <n v="590.59191914593623"/>
    <n v="-221.65438030153183"/>
    <n v="-18.171329708475938"/>
    <n v="-239.82571001000775"/>
    <n v="0"/>
    <n v="0"/>
    <n v="0"/>
    <n v="-239.82571001000775"/>
  </r>
  <r>
    <x v="4"/>
    <d v="2023-06-05T00:00:00"/>
    <d v="2023-06-26T00:00:00"/>
    <x v="2"/>
    <n v="9"/>
    <n v="104"/>
    <n v="6.4194773820210456"/>
    <n v="4.0101906396130911"/>
    <n v="417.05982651976149"/>
    <n v="667.62564773018869"/>
    <n v="-250.5658212104272"/>
    <n v="-20.541503148711925"/>
    <n v="-271.10732435913911"/>
    <n v="0"/>
    <n v="0"/>
    <n v="0"/>
    <n v="-271.10732435913911"/>
  </r>
  <r>
    <x v="5"/>
    <d v="2023-07-05T00:00:00"/>
    <d v="2023-07-24T00:00:00"/>
    <x v="2"/>
    <n v="9"/>
    <n v="156"/>
    <n v="6.4194773820210456"/>
    <n v="4.0101906396130911"/>
    <n v="625.58973977964217"/>
    <n v="1001.4384715952831"/>
    <n v="-375.84873181564092"/>
    <n v="-30.812254723067895"/>
    <n v="-406.66098653870881"/>
    <n v="0"/>
    <n v="0"/>
    <n v="0"/>
    <n v="-406.66098653870881"/>
  </r>
  <r>
    <x v="6"/>
    <d v="2023-08-03T00:00:00"/>
    <d v="2023-08-24T00:00:00"/>
    <x v="2"/>
    <n v="9"/>
    <n v="155"/>
    <n v="6.4194773820210456"/>
    <n v="4.0101906396130911"/>
    <n v="621.57954914002914"/>
    <n v="995.01899421326209"/>
    <n v="-373.43944507323295"/>
    <n v="-30.614740269714893"/>
    <n v="-404.05418534294785"/>
    <n v="0"/>
    <n v="0"/>
    <n v="0"/>
    <n v="-404.05418534294785"/>
  </r>
  <r>
    <x v="7"/>
    <d v="2023-09-05T00:00:00"/>
    <d v="2023-09-25T00:00:00"/>
    <x v="2"/>
    <n v="9"/>
    <n v="159"/>
    <n v="6.4194773820210456"/>
    <n v="4.0101906396130911"/>
    <n v="637.62031169848149"/>
    <n v="1020.6969037413462"/>
    <n v="-383.07659204286472"/>
    <n v="-31.404798083126888"/>
    <n v="-414.4813901259916"/>
    <n v="0"/>
    <n v="0"/>
    <n v="0"/>
    <n v="-414.4813901259916"/>
  </r>
  <r>
    <x v="8"/>
    <d v="2023-10-04T00:00:00"/>
    <d v="2023-10-24T00:00:00"/>
    <x v="2"/>
    <n v="9"/>
    <n v="144"/>
    <n v="6.4194773820210456"/>
    <n v="4.0101906396130911"/>
    <n v="577.46745210428514"/>
    <n v="924.40474301103052"/>
    <n v="-346.93729090674537"/>
    <n v="-28.4420812828319"/>
    <n v="-375.37937218957728"/>
    <n v="0"/>
    <n v="0"/>
    <n v="0"/>
    <n v="-375.37937218957728"/>
  </r>
  <r>
    <x v="9"/>
    <d v="2023-11-03T00:00:00"/>
    <d v="2023-11-24T00:00:00"/>
    <x v="2"/>
    <n v="9"/>
    <n v="117"/>
    <n v="6.4194773820210456"/>
    <n v="4.0101906396130911"/>
    <n v="469.19230483473166"/>
    <n v="751.07885369646237"/>
    <n v="-281.88654886173072"/>
    <n v="-23.109191042300921"/>
    <n v="-304.99573990403167"/>
    <n v="0"/>
    <n v="0"/>
    <n v="0"/>
    <n v="-304.99573990403167"/>
  </r>
  <r>
    <x v="10"/>
    <d v="2023-12-06T00:00:00"/>
    <d v="2023-12-25T00:00:00"/>
    <x v="2"/>
    <n v="9"/>
    <n v="134"/>
    <n v="6.4194773820210456"/>
    <n v="4.0101906396130911"/>
    <n v="537.36554570815417"/>
    <n v="860.20996919082006"/>
    <n v="-322.84442348266589"/>
    <n v="-26.466936749301908"/>
    <n v="-349.3113602319678"/>
    <n v="0"/>
    <n v="0"/>
    <n v="0"/>
    <n v="-349.3113602319678"/>
  </r>
  <r>
    <x v="11"/>
    <d v="2024-01-03T00:00:00"/>
    <d v="2024-01-24T00:00:00"/>
    <x v="2"/>
    <n v="9"/>
    <n v="145"/>
    <n v="6.4194773820210456"/>
    <n v="4.0101906396130911"/>
    <n v="581.47764274389817"/>
    <n v="930.82422039305163"/>
    <n v="-349.34657764915346"/>
    <n v="-28.639595736184901"/>
    <n v="-377.98617338533836"/>
    <n v="0"/>
    <n v="0"/>
    <n v="0"/>
    <n v="-377.98617338533836"/>
  </r>
  <r>
    <x v="0"/>
    <d v="2023-02-03T00:00:00"/>
    <d v="2023-02-24T00:00:00"/>
    <x v="3"/>
    <n v="9"/>
    <n v="828"/>
    <n v="6.4194773820210456"/>
    <n v="4.0101906396130911"/>
    <n v="3320.4378495996393"/>
    <n v="5315.327272313426"/>
    <n v="-1994.8894227137866"/>
    <n v="-163.54196737628342"/>
    <n v="-2158.4313900900702"/>
    <n v="0"/>
    <n v="0"/>
    <n v="0"/>
    <n v="-2158.4313900900702"/>
  </r>
  <r>
    <x v="1"/>
    <d v="2023-03-03T00:00:00"/>
    <d v="2023-03-24T00:00:00"/>
    <x v="3"/>
    <n v="9"/>
    <n v="786"/>
    <n v="6.4194773820210456"/>
    <n v="4.0101906396130911"/>
    <n v="3152.0098427358894"/>
    <n v="5045.7092222685415"/>
    <n v="-1893.6993795326521"/>
    <n v="-155.24636033545744"/>
    <n v="-2048.9457398681097"/>
    <n v="0"/>
    <n v="0"/>
    <n v="0"/>
    <n v="-2048.9457398681097"/>
  </r>
  <r>
    <x v="2"/>
    <d v="2023-04-05T00:00:00"/>
    <d v="2023-04-24T00:00:00"/>
    <x v="3"/>
    <n v="9"/>
    <n v="702"/>
    <n v="6.4194773820210456"/>
    <n v="4.0101906396130911"/>
    <n v="2815.1538290083899"/>
    <n v="4506.4731221787742"/>
    <n v="-1691.3192931703843"/>
    <n v="-138.65514625380553"/>
    <n v="-1829.9744394241898"/>
    <n v="0"/>
    <n v="0"/>
    <n v="0"/>
    <n v="-1829.9744394241898"/>
  </r>
  <r>
    <x v="3"/>
    <d v="2023-05-03T00:00:00"/>
    <d v="2023-05-24T00:00:00"/>
    <x v="3"/>
    <n v="9"/>
    <n v="519"/>
    <n v="6.4194773820210456"/>
    <n v="4.0101906396130911"/>
    <n v="2081.2889419591943"/>
    <n v="3331.7087612689224"/>
    <n v="-1250.4198193097282"/>
    <n v="-102.51000129020663"/>
    <n v="-1352.9298205999348"/>
    <n v="0"/>
    <n v="0"/>
    <n v="0"/>
    <n v="-1352.9298205999348"/>
  </r>
  <r>
    <x v="4"/>
    <d v="2023-06-05T00:00:00"/>
    <d v="2023-06-26T00:00:00"/>
    <x v="3"/>
    <n v="9"/>
    <n v="720"/>
    <n v="6.4194773820210456"/>
    <n v="4.0101906396130911"/>
    <n v="2887.3372605214254"/>
    <n v="4622.0237150551529"/>
    <n v="-1734.6864545337276"/>
    <n v="-142.21040641415951"/>
    <n v="-1876.896860947887"/>
    <n v="0"/>
    <n v="0"/>
    <n v="0"/>
    <n v="-1876.896860947887"/>
  </r>
  <r>
    <x v="5"/>
    <d v="2023-07-05T00:00:00"/>
    <d v="2023-07-24T00:00:00"/>
    <x v="3"/>
    <n v="9"/>
    <n v="975"/>
    <n v="6.4194773820210456"/>
    <n v="4.0101906396130911"/>
    <n v="3909.9358736227637"/>
    <n v="6258.990447470519"/>
    <n v="-2349.0545738477554"/>
    <n v="-192.57659201917434"/>
    <n v="-2541.6311658669297"/>
    <n v="0"/>
    <n v="0"/>
    <n v="0"/>
    <n v="-2541.6311658669297"/>
  </r>
  <r>
    <x v="6"/>
    <d v="2023-08-03T00:00:00"/>
    <d v="2023-08-24T00:00:00"/>
    <x v="3"/>
    <n v="9"/>
    <n v="924"/>
    <n v="6.4194773820210456"/>
    <n v="4.0101906396130911"/>
    <n v="3705.416151002496"/>
    <n v="5931.5971009874465"/>
    <n v="-2226.1809499849505"/>
    <n v="-182.50335489817135"/>
    <n v="-2408.684304883122"/>
    <n v="0"/>
    <n v="0"/>
    <n v="0"/>
    <n v="-2408.684304883122"/>
  </r>
  <r>
    <x v="7"/>
    <d v="2023-09-05T00:00:00"/>
    <d v="2023-09-25T00:00:00"/>
    <x v="3"/>
    <n v="9"/>
    <n v="1053"/>
    <n v="6.4194773820210456"/>
    <n v="4.0101906396130911"/>
    <n v="4222.7307435125849"/>
    <n v="6759.7096832681609"/>
    <n v="-2536.978939755576"/>
    <n v="-207.98271938070829"/>
    <n v="-2744.9616591362842"/>
    <n v="0"/>
    <n v="0"/>
    <n v="0"/>
    <n v="-2744.9616591362842"/>
  </r>
  <r>
    <x v="8"/>
    <d v="2023-10-04T00:00:00"/>
    <d v="2023-10-24T00:00:00"/>
    <x v="3"/>
    <n v="9"/>
    <n v="905"/>
    <n v="6.4194773820210456"/>
    <n v="4.0101906396130911"/>
    <n v="3629.2225288498475"/>
    <n v="5809.6270307290461"/>
    <n v="-2180.4045018791985"/>
    <n v="-178.75058028446438"/>
    <n v="-2359.1550821636629"/>
    <n v="0"/>
    <n v="0"/>
    <n v="0"/>
    <n v="-2359.1550821636629"/>
  </r>
  <r>
    <x v="9"/>
    <d v="2023-11-03T00:00:00"/>
    <d v="2023-11-24T00:00:00"/>
    <x v="3"/>
    <n v="9"/>
    <n v="694"/>
    <n v="6.4194773820210456"/>
    <n v="4.0101906396130911"/>
    <n v="2783.0723038914853"/>
    <n v="4455.1173031226053"/>
    <n v="-1672.0449992311201"/>
    <n v="-137.07503062698152"/>
    <n v="-1809.1200298581016"/>
    <n v="0"/>
    <n v="0"/>
    <n v="0"/>
    <n v="-1809.1200298581016"/>
  </r>
  <r>
    <x v="10"/>
    <d v="2023-12-06T00:00:00"/>
    <d v="2023-12-25T00:00:00"/>
    <x v="3"/>
    <n v="9"/>
    <n v="736"/>
    <n v="6.4194773820210456"/>
    <n v="4.0101906396130911"/>
    <n v="2951.5003107552352"/>
    <n v="4724.7353531674898"/>
    <n v="-1773.2350424122546"/>
    <n v="-145.3706376678075"/>
    <n v="-1918.605680080062"/>
    <n v="0"/>
    <n v="0"/>
    <n v="0"/>
    <n v="-1918.605680080062"/>
  </r>
  <r>
    <x v="11"/>
    <d v="2024-01-03T00:00:00"/>
    <d v="2024-01-24T00:00:00"/>
    <x v="3"/>
    <n v="9"/>
    <n v="713"/>
    <n v="6.4194773820210456"/>
    <n v="4.0101906396130911"/>
    <n v="2859.2659260441337"/>
    <n v="4577.0873733810058"/>
    <n v="-1717.8214473368721"/>
    <n v="-140.82780524068852"/>
    <n v="-1858.6492525775607"/>
    <n v="0"/>
    <n v="0"/>
    <n v="0"/>
    <n v="-1858.6492525775607"/>
  </r>
  <r>
    <x v="0"/>
    <d v="2023-02-03T00:00:00"/>
    <d v="2023-02-24T00:00:00"/>
    <x v="4"/>
    <n v="9"/>
    <n v="44"/>
    <n v="6.4194773820210456"/>
    <n v="4.0101906396130911"/>
    <n v="176.448388142976"/>
    <n v="282.457004808926"/>
    <n v="-106.00861666595"/>
    <n v="-8.6906359475319697"/>
    <n v="-114.69925261348197"/>
    <n v="0"/>
    <n v="0"/>
    <n v="0"/>
    <n v="-114.69925261348197"/>
  </r>
  <r>
    <x v="1"/>
    <d v="2023-03-03T00:00:00"/>
    <d v="2023-03-24T00:00:00"/>
    <x v="4"/>
    <n v="9"/>
    <n v="42"/>
    <n v="6.4194773820210456"/>
    <n v="4.0101906396130911"/>
    <n v="168.42800686374983"/>
    <n v="269.61805004488389"/>
    <n v="-101.19004318113406"/>
    <n v="-8.2956070408259706"/>
    <n v="-109.48565022196003"/>
    <n v="0"/>
    <n v="0"/>
    <n v="0"/>
    <n v="-109.48565022196003"/>
  </r>
  <r>
    <x v="2"/>
    <d v="2023-04-05T00:00:00"/>
    <d v="2023-04-24T00:00:00"/>
    <x v="4"/>
    <n v="9"/>
    <n v="37"/>
    <n v="6.4194773820210456"/>
    <n v="4.0101906396130911"/>
    <n v="148.37705366568437"/>
    <n v="237.52066313477869"/>
    <n v="-89.143609469094315"/>
    <n v="-7.3080347740609737"/>
    <n v="-96.451644243155286"/>
    <n v="0"/>
    <n v="0"/>
    <n v="0"/>
    <n v="-96.451644243155286"/>
  </r>
  <r>
    <x v="3"/>
    <d v="2023-05-03T00:00:00"/>
    <d v="2023-05-24T00:00:00"/>
    <x v="4"/>
    <n v="9"/>
    <n v="27"/>
    <n v="6.4194773820210456"/>
    <n v="4.0101906396130911"/>
    <n v="108.27514726955346"/>
    <n v="173.32588931456823"/>
    <n v="-65.050742045014772"/>
    <n v="-5.3328902405309817"/>
    <n v="-70.383632285545758"/>
    <n v="0"/>
    <n v="0"/>
    <n v="0"/>
    <n v="-70.383632285545758"/>
  </r>
  <r>
    <x v="4"/>
    <d v="2023-06-05T00:00:00"/>
    <d v="2023-06-26T00:00:00"/>
    <x v="4"/>
    <n v="9"/>
    <n v="42"/>
    <n v="6.4194773820210456"/>
    <n v="4.0101906396130911"/>
    <n v="168.42800686374983"/>
    <n v="269.61805004488389"/>
    <n v="-101.19004318113406"/>
    <n v="-8.2956070408259706"/>
    <n v="-109.48565022196003"/>
    <n v="0"/>
    <n v="0"/>
    <n v="0"/>
    <n v="-109.48565022196003"/>
  </r>
  <r>
    <x v="5"/>
    <d v="2023-07-05T00:00:00"/>
    <d v="2023-07-24T00:00:00"/>
    <x v="4"/>
    <n v="9"/>
    <n v="56"/>
    <n v="6.4194773820210456"/>
    <n v="4.0101906396130911"/>
    <n v="224.57067581833309"/>
    <n v="359.49073339317857"/>
    <n v="-134.92005757484549"/>
    <n v="-11.060809387767961"/>
    <n v="-145.98086696261345"/>
    <n v="0"/>
    <n v="0"/>
    <n v="0"/>
    <n v="-145.98086696261345"/>
  </r>
  <r>
    <x v="6"/>
    <d v="2023-08-03T00:00:00"/>
    <d v="2023-08-24T00:00:00"/>
    <x v="4"/>
    <n v="9"/>
    <n v="54"/>
    <n v="6.4194773820210456"/>
    <n v="4.0101906396130911"/>
    <n v="216.55029453910691"/>
    <n v="346.65177862913646"/>
    <n v="-130.10148409002954"/>
    <n v="-10.665780481061963"/>
    <n v="-140.76726457109152"/>
    <n v="0"/>
    <n v="0"/>
    <n v="0"/>
    <n v="-140.76726457109152"/>
  </r>
  <r>
    <x v="7"/>
    <d v="2023-09-05T00:00:00"/>
    <d v="2023-09-25T00:00:00"/>
    <x v="4"/>
    <n v="9"/>
    <n v="59"/>
    <n v="6.4194773820210456"/>
    <n v="4.0101906396130911"/>
    <n v="236.60124773717237"/>
    <n v="378.74916553924169"/>
    <n v="-142.14791780206932"/>
    <n v="-11.653352747826959"/>
    <n v="-153.80127054989629"/>
    <n v="0"/>
    <n v="0"/>
    <n v="0"/>
    <n v="-153.80127054989629"/>
  </r>
  <r>
    <x v="8"/>
    <d v="2023-10-04T00:00:00"/>
    <d v="2023-10-24T00:00:00"/>
    <x v="4"/>
    <n v="9"/>
    <n v="54"/>
    <n v="6.4194773820210456"/>
    <n v="4.0101906396130911"/>
    <n v="216.55029453910691"/>
    <n v="346.65177862913646"/>
    <n v="-130.10148409002954"/>
    <n v="-10.665780481061963"/>
    <n v="-140.76726457109152"/>
    <n v="0"/>
    <n v="0"/>
    <n v="0"/>
    <n v="-140.76726457109152"/>
  </r>
  <r>
    <x v="9"/>
    <d v="2023-11-03T00:00:00"/>
    <d v="2023-11-24T00:00:00"/>
    <x v="4"/>
    <n v="9"/>
    <n v="37"/>
    <n v="6.4194773820210456"/>
    <n v="4.0101906396130911"/>
    <n v="148.37705366568437"/>
    <n v="237.52066313477869"/>
    <n v="-89.143609469094315"/>
    <n v="-7.3080347740609737"/>
    <n v="-96.451644243155286"/>
    <n v="0"/>
    <n v="0"/>
    <n v="0"/>
    <n v="-96.451644243155286"/>
  </r>
  <r>
    <x v="10"/>
    <d v="2023-12-06T00:00:00"/>
    <d v="2023-12-25T00:00:00"/>
    <x v="4"/>
    <n v="9"/>
    <n v="38"/>
    <n v="6.4194773820210456"/>
    <n v="4.0101906396130911"/>
    <n v="152.38724430529746"/>
    <n v="243.94014051679974"/>
    <n v="-91.552896211502286"/>
    <n v="-7.5055492274139741"/>
    <n v="-99.058445438916266"/>
    <n v="0"/>
    <n v="0"/>
    <n v="0"/>
    <n v="-99.058445438916266"/>
  </r>
  <r>
    <x v="11"/>
    <d v="2024-01-03T00:00:00"/>
    <d v="2024-01-24T00:00:00"/>
    <x v="4"/>
    <n v="9"/>
    <n v="35"/>
    <n v="6.4194773820210456"/>
    <n v="4.0101906396130911"/>
    <n v="140.3566723864582"/>
    <n v="224.6817083707366"/>
    <n v="-84.325035984278401"/>
    <n v="-6.9130058673549755"/>
    <n v="-91.238041851633369"/>
    <n v="0"/>
    <n v="0"/>
    <n v="0"/>
    <n v="-91.238041851633369"/>
  </r>
  <r>
    <x v="0"/>
    <d v="2023-02-03T00:00:00"/>
    <d v="2023-02-24T00:00:00"/>
    <x v="5"/>
    <n v="9"/>
    <n v="53"/>
    <n v="6.4194773820210456"/>
    <n v="4.0101906396130911"/>
    <n v="212.54010389949383"/>
    <n v="340.2323012471154"/>
    <n v="-127.69219734762157"/>
    <n v="-10.468266027708964"/>
    <n v="-138.16046337533055"/>
    <n v="0"/>
    <n v="0"/>
    <n v="0"/>
    <n v="-138.16046337533055"/>
  </r>
  <r>
    <x v="1"/>
    <d v="2023-03-03T00:00:00"/>
    <d v="2023-03-24T00:00:00"/>
    <x v="5"/>
    <n v="9"/>
    <n v="55"/>
    <n v="6.4194773820210456"/>
    <n v="4.0101906396130911"/>
    <n v="220.56048517872"/>
    <n v="353.07125601115752"/>
    <n v="-132.51077083243752"/>
    <n v="-10.863294934414963"/>
    <n v="-143.37406576685248"/>
    <n v="0"/>
    <n v="0"/>
    <n v="0"/>
    <n v="-143.37406576685248"/>
  </r>
  <r>
    <x v="2"/>
    <d v="2023-04-05T00:00:00"/>
    <d v="2023-04-24T00:00:00"/>
    <x v="5"/>
    <n v="9"/>
    <n v="46"/>
    <n v="6.4194773820210456"/>
    <n v="4.0101906396130911"/>
    <n v="184.4687694222022"/>
    <n v="295.29595957296812"/>
    <n v="-110.82719015076592"/>
    <n v="-9.0856648542379688"/>
    <n v="-119.91285500500388"/>
    <n v="0"/>
    <n v="0"/>
    <n v="0"/>
    <n v="-119.91285500500388"/>
  </r>
  <r>
    <x v="3"/>
    <d v="2023-05-03T00:00:00"/>
    <d v="2023-05-24T00:00:00"/>
    <x v="5"/>
    <n v="9"/>
    <n v="33"/>
    <n v="6.4194773820210456"/>
    <n v="4.0101906396130911"/>
    <n v="132.336291107232"/>
    <n v="211.84275360669452"/>
    <n v="-79.506462499462515"/>
    <n v="-6.5179769606489772"/>
    <n v="-86.024439460111495"/>
    <n v="0"/>
    <n v="0"/>
    <n v="0"/>
    <n v="-86.024439460111495"/>
  </r>
  <r>
    <x v="4"/>
    <d v="2023-06-05T00:00:00"/>
    <d v="2023-06-26T00:00:00"/>
    <x v="5"/>
    <n v="9"/>
    <n v="44"/>
    <n v="6.4194773820210456"/>
    <n v="4.0101906396130911"/>
    <n v="176.448388142976"/>
    <n v="282.457004808926"/>
    <n v="-106.00861666595"/>
    <n v="-8.6906359475319697"/>
    <n v="-114.69925261348197"/>
    <n v="0"/>
    <n v="0"/>
    <n v="0"/>
    <n v="-114.69925261348197"/>
  </r>
  <r>
    <x v="5"/>
    <d v="2023-07-05T00:00:00"/>
    <d v="2023-07-24T00:00:00"/>
    <x v="5"/>
    <n v="9"/>
    <n v="55"/>
    <n v="6.4194773820210456"/>
    <n v="4.0101906396130911"/>
    <n v="220.56048517872"/>
    <n v="353.07125601115752"/>
    <n v="-132.51077083243752"/>
    <n v="-10.863294934414963"/>
    <n v="-143.37406576685248"/>
    <n v="0"/>
    <n v="0"/>
    <n v="0"/>
    <n v="-143.37406576685248"/>
  </r>
  <r>
    <x v="6"/>
    <d v="2023-08-03T00:00:00"/>
    <d v="2023-08-24T00:00:00"/>
    <x v="5"/>
    <n v="9"/>
    <n v="57"/>
    <n v="6.4194773820210456"/>
    <n v="4.0101906396130911"/>
    <n v="228.5808664579462"/>
    <n v="365.91021077519957"/>
    <n v="-137.32934431725337"/>
    <n v="-11.25832384112096"/>
    <n v="-148.58766815837433"/>
    <n v="0"/>
    <n v="0"/>
    <n v="0"/>
    <n v="-148.58766815837433"/>
  </r>
  <r>
    <x v="7"/>
    <d v="2023-09-05T00:00:00"/>
    <d v="2023-09-25T00:00:00"/>
    <x v="5"/>
    <n v="9"/>
    <n v="56"/>
    <n v="6.4194773820210456"/>
    <n v="4.0101906396130911"/>
    <n v="224.57067581833309"/>
    <n v="359.49073339317857"/>
    <n v="-134.92005757484549"/>
    <n v="-11.060809387767961"/>
    <n v="-145.98086696261345"/>
    <n v="0"/>
    <n v="0"/>
    <n v="0"/>
    <n v="-145.98086696261345"/>
  </r>
  <r>
    <x v="8"/>
    <d v="2023-10-04T00:00:00"/>
    <d v="2023-10-24T00:00:00"/>
    <x v="5"/>
    <n v="9"/>
    <n v="60"/>
    <n v="6.4194773820210456"/>
    <n v="4.0101906396130911"/>
    <n v="240.61143837678546"/>
    <n v="385.16864292126274"/>
    <n v="-144.55720454447729"/>
    <n v="-11.850867201179959"/>
    <n v="-156.40807174565725"/>
    <n v="0"/>
    <n v="0"/>
    <n v="0"/>
    <n v="-156.40807174565725"/>
  </r>
  <r>
    <x v="9"/>
    <d v="2023-11-03T00:00:00"/>
    <d v="2023-11-24T00:00:00"/>
    <x v="5"/>
    <n v="9"/>
    <n v="48"/>
    <n v="6.4194773820210456"/>
    <n v="4.0101906396130911"/>
    <n v="192.48915070142837"/>
    <n v="308.13491433701017"/>
    <n v="-115.6457636355818"/>
    <n v="-9.4806937609439661"/>
    <n v="-125.12645739652577"/>
    <n v="0"/>
    <n v="0"/>
    <n v="0"/>
    <n v="-125.12645739652577"/>
  </r>
  <r>
    <x v="10"/>
    <d v="2023-12-06T00:00:00"/>
    <d v="2023-12-25T00:00:00"/>
    <x v="5"/>
    <n v="9"/>
    <n v="54"/>
    <n v="6.4194773820210456"/>
    <n v="4.0101906396130911"/>
    <n v="216.55029453910691"/>
    <n v="346.65177862913646"/>
    <n v="-130.10148409002954"/>
    <n v="-10.665780481061963"/>
    <n v="-140.76726457109152"/>
    <n v="0"/>
    <n v="0"/>
    <n v="0"/>
    <n v="-140.76726457109152"/>
  </r>
  <r>
    <x v="11"/>
    <d v="2024-01-03T00:00:00"/>
    <d v="2024-01-24T00:00:00"/>
    <x v="5"/>
    <n v="9"/>
    <n v="55"/>
    <n v="6.4194773820210456"/>
    <n v="4.0101906396130911"/>
    <n v="220.56048517872"/>
    <n v="353.07125601115752"/>
    <n v="-132.51077083243752"/>
    <n v="-10.863294934414963"/>
    <n v="-143.37406576685248"/>
    <n v="0"/>
    <n v="0"/>
    <n v="0"/>
    <n v="-143.37406576685248"/>
  </r>
  <r>
    <x v="0"/>
    <d v="2023-02-03T00:00:00"/>
    <d v="2023-02-24T00:00:00"/>
    <x v="6"/>
    <n v="9"/>
    <n v="84"/>
    <n v="6.4194773820210456"/>
    <n v="4.0101906396130911"/>
    <n v="336.85601372749966"/>
    <n v="539.23610008976777"/>
    <n v="-202.38008636226812"/>
    <n v="-16.591214081651941"/>
    <n v="-218.97130044392006"/>
    <n v="0"/>
    <n v="0"/>
    <n v="0"/>
    <n v="-218.97130044392006"/>
  </r>
  <r>
    <x v="1"/>
    <d v="2023-03-03T00:00:00"/>
    <d v="2023-03-24T00:00:00"/>
    <x v="6"/>
    <n v="9"/>
    <n v="83"/>
    <n v="6.4194773820210456"/>
    <n v="4.0101906396130911"/>
    <n v="332.84582308788657"/>
    <n v="532.81662270774677"/>
    <n v="-199.9707996198602"/>
    <n v="-16.393699628298943"/>
    <n v="-216.36449924815915"/>
    <n v="0"/>
    <n v="0"/>
    <n v="0"/>
    <n v="-216.36449924815915"/>
  </r>
  <r>
    <x v="2"/>
    <d v="2023-04-05T00:00:00"/>
    <d v="2023-04-24T00:00:00"/>
    <x v="6"/>
    <n v="9"/>
    <n v="76"/>
    <n v="6.4194773820210456"/>
    <n v="4.0101906396130911"/>
    <n v="304.77448861059491"/>
    <n v="487.88028103359949"/>
    <n v="-183.10579242300457"/>
    <n v="-15.011098454827948"/>
    <n v="-198.11689087783253"/>
    <n v="0"/>
    <n v="0"/>
    <n v="0"/>
    <n v="-198.11689087783253"/>
  </r>
  <r>
    <x v="3"/>
    <d v="2023-05-03T00:00:00"/>
    <d v="2023-05-24T00:00:00"/>
    <x v="6"/>
    <n v="9"/>
    <n v="69"/>
    <n v="6.4194773820210456"/>
    <n v="4.0101906396130911"/>
    <n v="276.70315413330326"/>
    <n v="442.94393935945214"/>
    <n v="-166.24078522614889"/>
    <n v="-13.628497281356953"/>
    <n v="-179.86928250750583"/>
    <n v="0"/>
    <n v="0"/>
    <n v="0"/>
    <n v="-179.86928250750583"/>
  </r>
  <r>
    <x v="4"/>
    <d v="2023-06-05T00:00:00"/>
    <d v="2023-06-26T00:00:00"/>
    <x v="6"/>
    <n v="9"/>
    <n v="99"/>
    <n v="6.4194773820210456"/>
    <n v="4.0101906396130911"/>
    <n v="397.008873321696"/>
    <n v="635.52826082008346"/>
    <n v="-238.51938749838746"/>
    <n v="-19.553930881946933"/>
    <n v="-258.0733183803344"/>
    <n v="0"/>
    <n v="0"/>
    <n v="0"/>
    <n v="-258.0733183803344"/>
  </r>
  <r>
    <x v="5"/>
    <d v="2023-07-05T00:00:00"/>
    <d v="2023-07-24T00:00:00"/>
    <x v="6"/>
    <n v="9"/>
    <n v="149"/>
    <n v="6.4194773820210456"/>
    <n v="4.0101906396130911"/>
    <n v="597.51840530235052"/>
    <n v="956.50212992113575"/>
    <n v="-358.98372461878523"/>
    <n v="-29.429653549596896"/>
    <n v="-388.41337816838211"/>
    <n v="0"/>
    <n v="0"/>
    <n v="0"/>
    <n v="-388.41337816838211"/>
  </r>
  <r>
    <x v="6"/>
    <d v="2023-08-03T00:00:00"/>
    <d v="2023-08-24T00:00:00"/>
    <x v="6"/>
    <n v="9"/>
    <n v="148"/>
    <n v="6.4194773820210456"/>
    <n v="4.0101906396130911"/>
    <n v="593.50821466273749"/>
    <n v="950.08265253911475"/>
    <n v="-356.57443787637726"/>
    <n v="-29.232139096243895"/>
    <n v="-385.80657697262114"/>
    <n v="0"/>
    <n v="0"/>
    <n v="0"/>
    <n v="-385.80657697262114"/>
  </r>
  <r>
    <x v="7"/>
    <d v="2023-09-05T00:00:00"/>
    <d v="2023-09-25T00:00:00"/>
    <x v="6"/>
    <n v="9"/>
    <n v="160"/>
    <n v="6.4194773820210456"/>
    <n v="4.0101906396130911"/>
    <n v="641.63050233809463"/>
    <n v="1027.1163811233673"/>
    <n v="-385.48587878527269"/>
    <n v="-31.602312536479889"/>
    <n v="-417.08819132175256"/>
    <n v="0"/>
    <n v="0"/>
    <n v="0"/>
    <n v="-417.08819132175256"/>
  </r>
  <r>
    <x v="8"/>
    <d v="2023-10-04T00:00:00"/>
    <d v="2023-10-24T00:00:00"/>
    <x v="6"/>
    <n v="9"/>
    <n v="155"/>
    <n v="6.4194773820210456"/>
    <n v="4.0101906396130911"/>
    <n v="621.57954914002914"/>
    <n v="995.01899421326209"/>
    <n v="-373.43944507323295"/>
    <n v="-30.614740269714893"/>
    <n v="-404.05418534294785"/>
    <n v="0"/>
    <n v="0"/>
    <n v="0"/>
    <n v="-404.05418534294785"/>
  </r>
  <r>
    <x v="9"/>
    <d v="2023-11-03T00:00:00"/>
    <d v="2023-11-24T00:00:00"/>
    <x v="6"/>
    <n v="9"/>
    <n v="110"/>
    <n v="6.4194773820210456"/>
    <n v="4.0101906396130911"/>
    <n v="441.12097035744"/>
    <n v="706.14251202231503"/>
    <n v="-265.02154166487503"/>
    <n v="-21.726589868829926"/>
    <n v="-286.74813153370496"/>
    <n v="0"/>
    <n v="0"/>
    <n v="0"/>
    <n v="-286.74813153370496"/>
  </r>
  <r>
    <x v="10"/>
    <d v="2023-12-06T00:00:00"/>
    <d v="2023-12-25T00:00:00"/>
    <x v="6"/>
    <n v="9"/>
    <n v="70"/>
    <n v="6.4194773820210456"/>
    <n v="4.0101906396130911"/>
    <n v="280.7133447729164"/>
    <n v="449.3634167414732"/>
    <n v="-168.6500719685568"/>
    <n v="-13.826011734709951"/>
    <n v="-182.47608370326674"/>
    <n v="0"/>
    <n v="0"/>
    <n v="0"/>
    <n v="-182.47608370326674"/>
  </r>
  <r>
    <x v="11"/>
    <d v="2024-01-03T00:00:00"/>
    <d v="2024-01-24T00:00:00"/>
    <x v="6"/>
    <n v="9"/>
    <n v="66"/>
    <n v="6.4194773820210456"/>
    <n v="4.0101906396130911"/>
    <n v="264.672582214464"/>
    <n v="423.68550721338903"/>
    <n v="-159.01292499892503"/>
    <n v="-13.035953921297954"/>
    <n v="-172.04887892022299"/>
    <n v="0"/>
    <n v="0"/>
    <n v="0"/>
    <n v="-172.04887892022299"/>
  </r>
  <r>
    <x v="0"/>
    <d v="2023-02-03T00:00:00"/>
    <d v="2023-02-24T00:00:00"/>
    <x v="7"/>
    <n v="9"/>
    <n v="63"/>
    <n v="6.4194773820210456"/>
    <n v="4.0101906396130911"/>
    <n v="252.64201029562474"/>
    <n v="404.42707506732586"/>
    <n v="-151.78506477170112"/>
    <n v="-12.443410561238956"/>
    <n v="-164.22847533294006"/>
    <n v="0"/>
    <n v="0"/>
    <n v="0"/>
    <n v="-164.22847533294006"/>
  </r>
  <r>
    <x v="1"/>
    <d v="2023-03-03T00:00:00"/>
    <d v="2023-03-24T00:00:00"/>
    <x v="7"/>
    <n v="9"/>
    <n v="63"/>
    <n v="6.4194773820210456"/>
    <n v="4.0101906396130911"/>
    <n v="252.64201029562474"/>
    <n v="404.42707506732586"/>
    <n v="-151.78506477170112"/>
    <n v="-12.443410561238956"/>
    <n v="-164.22847533294006"/>
    <n v="0"/>
    <n v="0"/>
    <n v="0"/>
    <n v="-164.22847533294006"/>
  </r>
  <r>
    <x v="2"/>
    <d v="2023-04-05T00:00:00"/>
    <d v="2023-04-24T00:00:00"/>
    <x v="7"/>
    <n v="9"/>
    <n v="67"/>
    <n v="6.4194773820210456"/>
    <n v="4.0101906396130911"/>
    <n v="268.68277285407709"/>
    <n v="430.10498459541003"/>
    <n v="-161.42221174133294"/>
    <n v="-13.233468374650954"/>
    <n v="-174.6556801159839"/>
    <n v="0"/>
    <n v="0"/>
    <n v="0"/>
    <n v="-174.6556801159839"/>
  </r>
  <r>
    <x v="3"/>
    <d v="2023-05-03T00:00:00"/>
    <d v="2023-05-24T00:00:00"/>
    <x v="7"/>
    <n v="9"/>
    <n v="62"/>
    <n v="6.4194773820210456"/>
    <n v="4.0101906396130911"/>
    <n v="248.63181965601166"/>
    <n v="398.0075976853048"/>
    <n v="-149.37577802929314"/>
    <n v="-12.245896107885956"/>
    <n v="-161.6216741371791"/>
    <n v="0"/>
    <n v="0"/>
    <n v="0"/>
    <n v="-161.6216741371791"/>
  </r>
  <r>
    <x v="4"/>
    <d v="2023-06-05T00:00:00"/>
    <d v="2023-06-26T00:00:00"/>
    <x v="7"/>
    <n v="9"/>
    <n v="51"/>
    <n v="6.4194773820210456"/>
    <n v="4.0101906396130911"/>
    <n v="204.51972262026766"/>
    <n v="327.39334648307334"/>
    <n v="-122.87362386280569"/>
    <n v="-10.073237121002963"/>
    <n v="-132.94686098380865"/>
    <n v="0"/>
    <n v="0"/>
    <n v="0"/>
    <n v="-132.94686098380865"/>
  </r>
  <r>
    <x v="5"/>
    <d v="2023-07-05T00:00:00"/>
    <d v="2023-07-24T00:00:00"/>
    <x v="7"/>
    <n v="9"/>
    <n v="67"/>
    <n v="6.4194773820210456"/>
    <n v="4.0101906396130911"/>
    <n v="268.68277285407709"/>
    <n v="430.10498459541003"/>
    <n v="-161.42221174133294"/>
    <n v="-13.233468374650954"/>
    <n v="-174.6556801159839"/>
    <n v="0"/>
    <n v="0"/>
    <n v="0"/>
    <n v="-174.6556801159839"/>
  </r>
  <r>
    <x v="6"/>
    <d v="2023-08-03T00:00:00"/>
    <d v="2023-08-24T00:00:00"/>
    <x v="7"/>
    <n v="9"/>
    <n v="66"/>
    <n v="6.4194773820210456"/>
    <n v="4.0101906396130911"/>
    <n v="264.672582214464"/>
    <n v="423.68550721338903"/>
    <n v="-159.01292499892503"/>
    <n v="-13.035953921297954"/>
    <n v="-172.04887892022299"/>
    <n v="0"/>
    <n v="0"/>
    <n v="0"/>
    <n v="-172.04887892022299"/>
  </r>
  <r>
    <x v="7"/>
    <d v="2023-09-05T00:00:00"/>
    <d v="2023-09-25T00:00:00"/>
    <x v="7"/>
    <n v="9"/>
    <n v="61"/>
    <n v="6.4194773820210456"/>
    <n v="4.0101906396130911"/>
    <n v="244.62162901639854"/>
    <n v="391.5881203032838"/>
    <n v="-146.96649128688526"/>
    <n v="-12.048381654532957"/>
    <n v="-159.01487294141822"/>
    <n v="0"/>
    <n v="0"/>
    <n v="0"/>
    <n v="-159.01487294141822"/>
  </r>
  <r>
    <x v="8"/>
    <d v="2023-10-04T00:00:00"/>
    <d v="2023-10-24T00:00:00"/>
    <x v="7"/>
    <n v="9"/>
    <n v="55"/>
    <n v="6.4194773820210456"/>
    <n v="4.0101906396130911"/>
    <n v="220.56048517872"/>
    <n v="353.07125601115752"/>
    <n v="-132.51077083243752"/>
    <n v="-10.863294934414963"/>
    <n v="-143.37406576685248"/>
    <n v="0"/>
    <n v="0"/>
    <n v="0"/>
    <n v="-143.37406576685248"/>
  </r>
  <r>
    <x v="9"/>
    <d v="2023-11-03T00:00:00"/>
    <d v="2023-11-24T00:00:00"/>
    <x v="7"/>
    <n v="9"/>
    <n v="59"/>
    <n v="6.4194773820210456"/>
    <n v="4.0101906396130911"/>
    <n v="236.60124773717237"/>
    <n v="378.74916553924169"/>
    <n v="-142.14791780206932"/>
    <n v="-11.653352747826959"/>
    <n v="-153.80127054989629"/>
    <n v="0"/>
    <n v="0"/>
    <n v="0"/>
    <n v="-153.80127054989629"/>
  </r>
  <r>
    <x v="10"/>
    <d v="2023-12-06T00:00:00"/>
    <d v="2023-12-25T00:00:00"/>
    <x v="7"/>
    <n v="9"/>
    <n v="63"/>
    <n v="6.4194773820210456"/>
    <n v="4.0101906396130911"/>
    <n v="252.64201029562474"/>
    <n v="404.42707506732586"/>
    <n v="-151.78506477170112"/>
    <n v="-12.443410561238956"/>
    <n v="-164.22847533294006"/>
    <n v="0"/>
    <n v="0"/>
    <n v="0"/>
    <n v="-164.22847533294006"/>
  </r>
  <r>
    <x v="11"/>
    <d v="2024-01-03T00:00:00"/>
    <d v="2024-01-24T00:00:00"/>
    <x v="7"/>
    <n v="9"/>
    <n v="63"/>
    <n v="6.4194773820210456"/>
    <n v="4.0101906396130911"/>
    <n v="252.64201029562474"/>
    <n v="404.42707506732586"/>
    <n v="-151.78506477170112"/>
    <n v="-12.443410561238956"/>
    <n v="-164.22847533294006"/>
    <n v="0"/>
    <n v="0"/>
    <n v="0"/>
    <n v="-164.22847533294006"/>
  </r>
  <r>
    <x v="0"/>
    <d v="2023-02-03T00:00:00"/>
    <d v="2023-02-24T00:00:00"/>
    <x v="8"/>
    <n v="9"/>
    <n v="967"/>
    <n v="6.4194773820210456"/>
    <n v="4.0101906396130911"/>
    <n v="3877.854348505859"/>
    <n v="6207.634628414351"/>
    <n v="-2329.780279908492"/>
    <n v="-190.99647639235033"/>
    <n v="-2520.7767563008424"/>
    <n v="0"/>
    <n v="0"/>
    <n v="0"/>
    <n v="-2520.7767563008424"/>
  </r>
  <r>
    <x v="1"/>
    <d v="2023-03-03T00:00:00"/>
    <d v="2023-03-24T00:00:00"/>
    <x v="8"/>
    <n v="9"/>
    <n v="955"/>
    <n v="6.4194773820210456"/>
    <n v="4.0101906396130911"/>
    <n v="3829.7320608305022"/>
    <n v="6130.6008998300986"/>
    <n v="-2300.8688389995964"/>
    <n v="-188.62630295211434"/>
    <n v="-2489.4951419517106"/>
    <n v="0"/>
    <n v="0"/>
    <n v="0"/>
    <n v="-2489.4951419517106"/>
  </r>
  <r>
    <x v="2"/>
    <d v="2023-04-05T00:00:00"/>
    <d v="2023-04-24T00:00:00"/>
    <x v="8"/>
    <n v="9"/>
    <n v="872"/>
    <n v="6.4194773820210456"/>
    <n v="4.0101906396130911"/>
    <n v="3496.8862377426153"/>
    <n v="5597.7842771223513"/>
    <n v="-2100.898039379736"/>
    <n v="-172.2326033238154"/>
    <n v="-2273.1306427035515"/>
    <n v="0"/>
    <n v="0"/>
    <n v="0"/>
    <n v="-2273.1306427035515"/>
  </r>
  <r>
    <x v="3"/>
    <d v="2023-05-03T00:00:00"/>
    <d v="2023-05-24T00:00:00"/>
    <x v="8"/>
    <n v="9"/>
    <n v="602"/>
    <n v="6.4194773820210456"/>
    <n v="4.0101906396130911"/>
    <n v="2414.1347650470807"/>
    <n v="3864.5253839766692"/>
    <n v="-1450.3906189295885"/>
    <n v="-118.90370091850558"/>
    <n v="-1569.2943198480941"/>
    <n v="0"/>
    <n v="0"/>
    <n v="0"/>
    <n v="-1569.2943198480941"/>
  </r>
  <r>
    <x v="4"/>
    <d v="2023-06-05T00:00:00"/>
    <d v="2023-06-26T00:00:00"/>
    <x v="8"/>
    <n v="9"/>
    <n v="711"/>
    <n v="6.4194773820210456"/>
    <n v="4.0101906396130911"/>
    <n v="2851.2455447649077"/>
    <n v="4564.2484186169631"/>
    <n v="-1713.0028738520555"/>
    <n v="-140.4327763339825"/>
    <n v="-1853.4356501860379"/>
    <n v="0"/>
    <n v="0"/>
    <n v="0"/>
    <n v="-1853.4356501860379"/>
  </r>
  <r>
    <x v="5"/>
    <d v="2023-07-05T00:00:00"/>
    <d v="2023-07-24T00:00:00"/>
    <x v="8"/>
    <n v="9"/>
    <n v="936"/>
    <n v="6.4194773820210456"/>
    <n v="4.0101906396130911"/>
    <n v="3753.5384386778533"/>
    <n v="6008.630829571699"/>
    <n v="-2255.0923908938457"/>
    <n v="-184.87352833840737"/>
    <n v="-2439.9659192322533"/>
    <n v="0"/>
    <n v="0"/>
    <n v="0"/>
    <n v="-2439.9659192322533"/>
  </r>
  <r>
    <x v="6"/>
    <d v="2023-08-03T00:00:00"/>
    <d v="2023-08-24T00:00:00"/>
    <x v="8"/>
    <n v="9"/>
    <n v="932"/>
    <n v="6.4194773820210456"/>
    <n v="4.0101906396130911"/>
    <n v="3737.4976761194007"/>
    <n v="5982.9529200436145"/>
    <n v="-2245.4552439242138"/>
    <n v="-184.08347052499536"/>
    <n v="-2429.5387144492092"/>
    <n v="0"/>
    <n v="0"/>
    <n v="0"/>
    <n v="-2429.5387144492092"/>
  </r>
  <r>
    <x v="7"/>
    <d v="2023-09-05T00:00:00"/>
    <d v="2023-09-25T00:00:00"/>
    <x v="8"/>
    <n v="9"/>
    <n v="1025"/>
    <n v="6.4194773820210456"/>
    <n v="4.0101906396130911"/>
    <n v="4110.4454056034183"/>
    <n v="6579.9643165715715"/>
    <n v="-2469.5189109681532"/>
    <n v="-202.45231468682428"/>
    <n v="-2671.9712256549774"/>
    <n v="0"/>
    <n v="0"/>
    <n v="0"/>
    <n v="-2671.9712256549774"/>
  </r>
  <r>
    <x v="8"/>
    <d v="2023-10-04T00:00:00"/>
    <d v="2023-10-24T00:00:00"/>
    <x v="8"/>
    <n v="9"/>
    <n v="934"/>
    <n v="6.4194773820210456"/>
    <n v="4.0101906396130911"/>
    <n v="3745.5180573986272"/>
    <n v="5995.7918748076563"/>
    <n v="-2250.2738174090291"/>
    <n v="-184.47849943170135"/>
    <n v="-2434.7523168407306"/>
    <n v="0"/>
    <n v="0"/>
    <n v="0"/>
    <n v="-2434.7523168407306"/>
  </r>
  <r>
    <x v="9"/>
    <d v="2023-11-03T00:00:00"/>
    <d v="2023-11-24T00:00:00"/>
    <x v="8"/>
    <n v="9"/>
    <n v="700"/>
    <n v="6.4194773820210456"/>
    <n v="4.0101906396130911"/>
    <n v="2807.1334477291639"/>
    <n v="4493.6341674147316"/>
    <n v="-1686.5007196855677"/>
    <n v="-138.26011734709951"/>
    <n v="-1824.7608370326673"/>
    <n v="0"/>
    <n v="0"/>
    <n v="0"/>
    <n v="-1824.7608370326673"/>
  </r>
  <r>
    <x v="10"/>
    <d v="2023-12-06T00:00:00"/>
    <d v="2023-12-25T00:00:00"/>
    <x v="8"/>
    <n v="9"/>
    <n v="867"/>
    <n v="6.4194773820210456"/>
    <n v="4.0101906396130911"/>
    <n v="3476.8352845445502"/>
    <n v="5565.6868902122469"/>
    <n v="-2088.8516056676967"/>
    <n v="-171.2450310570504"/>
    <n v="-2260.096636724747"/>
    <n v="0"/>
    <n v="0"/>
    <n v="0"/>
    <n v="-2260.096636724747"/>
  </r>
  <r>
    <x v="11"/>
    <d v="2024-01-03T00:00:00"/>
    <d v="2024-01-24T00:00:00"/>
    <x v="8"/>
    <n v="9"/>
    <n v="916"/>
    <n v="6.4194773820210456"/>
    <n v="4.0101906396130911"/>
    <n v="3673.3346258855913"/>
    <n v="5880.2412819312776"/>
    <n v="-2206.9066560456863"/>
    <n v="-180.92323927134737"/>
    <n v="-2387.8298953170338"/>
    <n v="0"/>
    <n v="0"/>
    <n v="0"/>
    <n v="-2387.8298953170338"/>
  </r>
  <r>
    <x v="0"/>
    <d v="2023-02-03T00:00:00"/>
    <d v="2023-02-24T00:00:00"/>
    <x v="9"/>
    <n v="9"/>
    <n v="6"/>
    <n v="6.4194773820210456"/>
    <n v="4.0101906396130911"/>
    <n v="24.061143837678546"/>
    <n v="38.516864292126272"/>
    <n v="-14.455720454447725"/>
    <n v="-1.1850867201179958"/>
    <n v="-15.640807174565721"/>
    <n v="0"/>
    <n v="0"/>
    <n v="0"/>
    <n v="-15.640807174565721"/>
  </r>
  <r>
    <x v="1"/>
    <d v="2023-03-03T00:00:00"/>
    <d v="2023-03-24T00:00:00"/>
    <x v="9"/>
    <n v="9"/>
    <n v="5"/>
    <n v="6.4194773820210456"/>
    <n v="4.0101906396130911"/>
    <n v="20.050953198065457"/>
    <n v="32.097386910105229"/>
    <n v="-12.046433712039772"/>
    <n v="-0.98757226676499654"/>
    <n v="-13.034005978804768"/>
    <n v="0"/>
    <n v="0"/>
    <n v="0"/>
    <n v="-13.034005978804768"/>
  </r>
  <r>
    <x v="2"/>
    <d v="2023-04-05T00:00:00"/>
    <d v="2023-04-24T00:00:00"/>
    <x v="9"/>
    <n v="9"/>
    <n v="5"/>
    <n v="6.4194773820210456"/>
    <n v="4.0101906396130911"/>
    <n v="20.050953198065457"/>
    <n v="32.097386910105229"/>
    <n v="-12.046433712039772"/>
    <n v="-0.98757226676499654"/>
    <n v="-13.034005978804768"/>
    <n v="0"/>
    <n v="0"/>
    <n v="0"/>
    <n v="-13.034005978804768"/>
  </r>
  <r>
    <x v="3"/>
    <d v="2023-05-03T00:00:00"/>
    <d v="2023-05-24T00:00:00"/>
    <x v="9"/>
    <n v="9"/>
    <n v="7"/>
    <n v="6.4194773820210456"/>
    <n v="4.0101906396130911"/>
    <n v="28.071334477291636"/>
    <n v="44.936341674147322"/>
    <n v="-16.865007196855686"/>
    <n v="-1.3826011734709951"/>
    <n v="-18.247608370326681"/>
    <n v="0"/>
    <n v="0"/>
    <n v="0"/>
    <n v="-18.247608370326681"/>
  </r>
  <r>
    <x v="4"/>
    <d v="2023-06-05T00:00:00"/>
    <d v="2023-06-26T00:00:00"/>
    <x v="9"/>
    <n v="9"/>
    <n v="4"/>
    <n v="6.4194773820210456"/>
    <n v="4.0101906396130911"/>
    <n v="16.040762558452364"/>
    <n v="25.677909528084182"/>
    <n v="-9.6371469696318179"/>
    <n v="-0.79005781341199721"/>
    <n v="-10.427204783043814"/>
    <n v="0"/>
    <n v="0"/>
    <n v="0"/>
    <n v="-10.427204783043814"/>
  </r>
  <r>
    <x v="5"/>
    <d v="2023-07-05T00:00:00"/>
    <d v="2023-07-24T00:00:00"/>
    <x v="9"/>
    <n v="9"/>
    <n v="14"/>
    <n v="6.4194773820210456"/>
    <n v="4.0101906396130911"/>
    <n v="56.142668954583272"/>
    <n v="89.872683348294643"/>
    <n v="-33.730014393711372"/>
    <n v="-2.7652023469419902"/>
    <n v="-36.495216740653362"/>
    <n v="0"/>
    <n v="0"/>
    <n v="0"/>
    <n v="-36.495216740653362"/>
  </r>
  <r>
    <x v="6"/>
    <d v="2023-08-03T00:00:00"/>
    <d v="2023-08-24T00:00:00"/>
    <x v="9"/>
    <n v="9"/>
    <n v="13"/>
    <n v="6.4194773820210456"/>
    <n v="4.0101906396130911"/>
    <n v="52.132478314970186"/>
    <n v="83.453205966273586"/>
    <n v="-31.3207276513034"/>
    <n v="-2.5676878935889906"/>
    <n v="-33.888415544892389"/>
    <n v="0"/>
    <n v="0"/>
    <n v="0"/>
    <n v="-33.888415544892389"/>
  </r>
  <r>
    <x v="7"/>
    <d v="2023-09-05T00:00:00"/>
    <d v="2023-09-25T00:00:00"/>
    <x v="9"/>
    <n v="9"/>
    <n v="19"/>
    <n v="6.4194773820210456"/>
    <n v="4.0101906396130911"/>
    <n v="76.193622152648729"/>
    <n v="121.97007025839987"/>
    <n v="-45.776448105751143"/>
    <n v="-3.7527746137069871"/>
    <n v="-49.529222719458133"/>
    <n v="0"/>
    <n v="0"/>
    <n v="0"/>
    <n v="-49.529222719458133"/>
  </r>
  <r>
    <x v="8"/>
    <d v="2023-10-04T00:00:00"/>
    <d v="2023-10-24T00:00:00"/>
    <x v="9"/>
    <n v="9"/>
    <n v="18"/>
    <n v="6.4194773820210456"/>
    <n v="4.0101906396130911"/>
    <n v="72.183431513035643"/>
    <n v="115.55059287637881"/>
    <n v="-43.367161363343172"/>
    <n v="-3.5552601603539875"/>
    <n v="-46.92242152369716"/>
    <n v="0"/>
    <n v="0"/>
    <n v="0"/>
    <n v="-46.92242152369716"/>
  </r>
  <r>
    <x v="9"/>
    <d v="2023-11-03T00:00:00"/>
    <d v="2023-11-24T00:00:00"/>
    <x v="9"/>
    <n v="9"/>
    <n v="6"/>
    <n v="6.4194773820210456"/>
    <n v="4.0101906396130911"/>
    <n v="24.061143837678546"/>
    <n v="38.516864292126272"/>
    <n v="-14.455720454447725"/>
    <n v="-1.1850867201179958"/>
    <n v="-15.640807174565721"/>
    <n v="0"/>
    <n v="0"/>
    <n v="0"/>
    <n v="-15.640807174565721"/>
  </r>
  <r>
    <x v="10"/>
    <d v="2023-12-06T00:00:00"/>
    <d v="2023-12-25T00:00:00"/>
    <x v="9"/>
    <n v="9"/>
    <n v="6"/>
    <n v="6.4194773820210456"/>
    <n v="4.0101906396130911"/>
    <n v="24.061143837678546"/>
    <n v="38.516864292126272"/>
    <n v="-14.455720454447725"/>
    <n v="-1.1850867201179958"/>
    <n v="-15.640807174565721"/>
    <n v="0"/>
    <n v="0"/>
    <n v="0"/>
    <n v="-15.640807174565721"/>
  </r>
  <r>
    <x v="11"/>
    <d v="2024-01-03T00:00:00"/>
    <d v="2024-01-24T00:00:00"/>
    <x v="9"/>
    <n v="9"/>
    <n v="5"/>
    <n v="6.4194773820210456"/>
    <n v="4.0101906396130911"/>
    <n v="20.050953198065457"/>
    <n v="32.097386910105229"/>
    <n v="-12.046433712039772"/>
    <n v="-0.98757226676499654"/>
    <n v="-13.034005978804768"/>
    <n v="0"/>
    <n v="0"/>
    <n v="0"/>
    <n v="-13.034005978804768"/>
  </r>
  <r>
    <x v="0"/>
    <d v="2023-02-03T00:00:00"/>
    <d v="2023-02-24T00:00:00"/>
    <x v="10"/>
    <n v="9"/>
    <n v="4"/>
    <n v="6.4194773820210456"/>
    <n v="4.0101906396130911"/>
    <n v="16.040762558452364"/>
    <n v="25.677909528084182"/>
    <n v="-9.6371469696318179"/>
    <n v="-0.79005781341199721"/>
    <n v="-10.427204783043814"/>
    <n v="0"/>
    <n v="0"/>
    <n v="0"/>
    <n v="-10.427204783043814"/>
  </r>
  <r>
    <x v="1"/>
    <d v="2023-03-03T00:00:00"/>
    <d v="2023-03-24T00:00:00"/>
    <x v="10"/>
    <n v="9"/>
    <n v="5"/>
    <n v="6.4194773820210456"/>
    <n v="4.0101906396130911"/>
    <n v="20.050953198065457"/>
    <n v="32.097386910105229"/>
    <n v="-12.046433712039772"/>
    <n v="-0.98757226676499654"/>
    <n v="-13.034005978804768"/>
    <n v="0"/>
    <n v="0"/>
    <n v="0"/>
    <n v="-13.034005978804768"/>
  </r>
  <r>
    <x v="2"/>
    <d v="2023-04-05T00:00:00"/>
    <d v="2023-04-24T00:00:00"/>
    <x v="10"/>
    <n v="9"/>
    <n v="1"/>
    <n v="6.4194773820210456"/>
    <n v="4.0101906396130911"/>
    <n v="4.0101906396130911"/>
    <n v="6.4194773820210456"/>
    <n v="-2.4092867424079545"/>
    <n v="-0.1975144533529993"/>
    <n v="-2.6068011957609536"/>
    <n v="0"/>
    <n v="0"/>
    <n v="0"/>
    <n v="-2.6068011957609536"/>
  </r>
  <r>
    <x v="3"/>
    <d v="2023-05-03T00:00:00"/>
    <d v="2023-05-24T00:00:00"/>
    <x v="10"/>
    <n v="9"/>
    <n v="7"/>
    <n v="6.4194773820210456"/>
    <n v="4.0101906396130911"/>
    <n v="28.071334477291636"/>
    <n v="44.936341674147322"/>
    <n v="-16.865007196855686"/>
    <n v="-1.3826011734709951"/>
    <n v="-18.247608370326681"/>
    <n v="0"/>
    <n v="0"/>
    <n v="0"/>
    <n v="-18.247608370326681"/>
  </r>
  <r>
    <x v="4"/>
    <d v="2023-06-05T00:00:00"/>
    <d v="2023-06-26T00:00:00"/>
    <x v="10"/>
    <n v="9"/>
    <n v="3"/>
    <n v="6.4194773820210456"/>
    <n v="4.0101906396130911"/>
    <n v="12.030571918839273"/>
    <n v="19.258432146063136"/>
    <n v="-7.2278602272238626"/>
    <n v="-0.59254336005899788"/>
    <n v="-7.8204035872828603"/>
    <n v="0"/>
    <n v="0"/>
    <n v="0"/>
    <n v="-7.8204035872828603"/>
  </r>
  <r>
    <x v="5"/>
    <d v="2023-07-05T00:00:00"/>
    <d v="2023-07-24T00:00:00"/>
    <x v="10"/>
    <n v="9"/>
    <n v="7"/>
    <n v="6.4194773820210456"/>
    <n v="4.0101906396130911"/>
    <n v="28.071334477291636"/>
    <n v="44.936341674147322"/>
    <n v="-16.865007196855686"/>
    <n v="-1.3826011734709951"/>
    <n v="-18.247608370326681"/>
    <n v="0"/>
    <n v="0"/>
    <n v="0"/>
    <n v="-18.247608370326681"/>
  </r>
  <r>
    <x v="6"/>
    <d v="2023-08-03T00:00:00"/>
    <d v="2023-08-24T00:00:00"/>
    <x v="10"/>
    <n v="9"/>
    <n v="5"/>
    <n v="6.4194773820210456"/>
    <n v="4.0101906396130911"/>
    <n v="20.050953198065457"/>
    <n v="32.097386910105229"/>
    <n v="-12.046433712039772"/>
    <n v="-0.98757226676499654"/>
    <n v="-13.034005978804768"/>
    <n v="0"/>
    <n v="0"/>
    <n v="0"/>
    <n v="-13.034005978804768"/>
  </r>
  <r>
    <x v="7"/>
    <d v="2023-09-05T00:00:00"/>
    <d v="2023-09-25T00:00:00"/>
    <x v="10"/>
    <n v="9"/>
    <n v="5"/>
    <n v="6.4194773820210456"/>
    <n v="4.0101906396130911"/>
    <n v="20.050953198065457"/>
    <n v="32.097386910105229"/>
    <n v="-12.046433712039772"/>
    <n v="-0.98757226676499654"/>
    <n v="-13.034005978804768"/>
    <n v="0"/>
    <n v="0"/>
    <n v="0"/>
    <n v="-13.034005978804768"/>
  </r>
  <r>
    <x v="8"/>
    <d v="2023-10-04T00:00:00"/>
    <d v="2023-10-24T00:00:00"/>
    <x v="10"/>
    <n v="9"/>
    <n v="6"/>
    <n v="6.4194773820210456"/>
    <n v="4.0101906396130911"/>
    <n v="24.061143837678546"/>
    <n v="38.516864292126272"/>
    <n v="-14.455720454447725"/>
    <n v="-1.1850867201179958"/>
    <n v="-15.640807174565721"/>
    <n v="0"/>
    <n v="0"/>
    <n v="0"/>
    <n v="-15.640807174565721"/>
  </r>
  <r>
    <x v="9"/>
    <d v="2023-11-03T00:00:00"/>
    <d v="2023-11-24T00:00:00"/>
    <x v="10"/>
    <n v="9"/>
    <n v="5"/>
    <n v="6.4194773820210456"/>
    <n v="4.0101906396130911"/>
    <n v="20.050953198065457"/>
    <n v="32.097386910105229"/>
    <n v="-12.046433712039772"/>
    <n v="-0.98757226676499654"/>
    <n v="-13.034005978804768"/>
    <n v="0"/>
    <n v="0"/>
    <n v="0"/>
    <n v="-13.034005978804768"/>
  </r>
  <r>
    <x v="10"/>
    <d v="2023-12-06T00:00:00"/>
    <d v="2023-12-25T00:00:00"/>
    <x v="10"/>
    <n v="9"/>
    <n v="4"/>
    <n v="6.4194773820210456"/>
    <n v="4.0101906396130911"/>
    <n v="16.040762558452364"/>
    <n v="25.677909528084182"/>
    <n v="-9.6371469696318179"/>
    <n v="-0.79005781341199721"/>
    <n v="-10.427204783043814"/>
    <n v="0"/>
    <n v="0"/>
    <n v="0"/>
    <n v="-10.427204783043814"/>
  </r>
  <r>
    <x v="11"/>
    <d v="2024-01-03T00:00:00"/>
    <d v="2024-01-24T00:00:00"/>
    <x v="10"/>
    <n v="9"/>
    <n v="4"/>
    <n v="6.4194773820210456"/>
    <n v="4.0101906396130911"/>
    <n v="16.040762558452364"/>
    <n v="25.677909528084182"/>
    <n v="-9.6371469696318179"/>
    <n v="-0.79005781341199721"/>
    <n v="-10.427204783043814"/>
    <n v="0"/>
    <n v="0"/>
    <n v="0"/>
    <n v="-10.427204783043814"/>
  </r>
  <r>
    <x v="0"/>
    <d v="2023-02-03T00:00:00"/>
    <d v="2023-02-24T00:00:00"/>
    <x v="11"/>
    <n v="9"/>
    <n v="113"/>
    <n v="6.4194773820210456"/>
    <n v="4.0101906396130911"/>
    <n v="453.15154227627932"/>
    <n v="725.40094416837815"/>
    <n v="-272.24940189209883"/>
    <n v="-22.319133228888919"/>
    <n v="-294.56853512098775"/>
    <n v="0"/>
    <n v="0"/>
    <n v="0"/>
    <n v="-294.56853512098775"/>
  </r>
  <r>
    <x v="1"/>
    <d v="2023-03-03T00:00:00"/>
    <d v="2023-03-24T00:00:00"/>
    <x v="11"/>
    <n v="9"/>
    <n v="108"/>
    <n v="6.4194773820210456"/>
    <n v="4.0101906396130911"/>
    <n v="433.10058907821383"/>
    <n v="693.30355725827292"/>
    <n v="-260.20296818005909"/>
    <n v="-21.331560962123927"/>
    <n v="-281.53452914218303"/>
    <n v="0"/>
    <n v="0"/>
    <n v="0"/>
    <n v="-281.53452914218303"/>
  </r>
  <r>
    <x v="2"/>
    <d v="2023-04-05T00:00:00"/>
    <d v="2023-04-24T00:00:00"/>
    <x v="11"/>
    <n v="9"/>
    <n v="96"/>
    <n v="6.4194773820210456"/>
    <n v="4.0101906396130911"/>
    <n v="384.97830140285674"/>
    <n v="616.26982867402035"/>
    <n v="-231.2915272711636"/>
    <n v="-18.961387521887932"/>
    <n v="-250.25291479305153"/>
    <n v="0"/>
    <n v="0"/>
    <n v="0"/>
    <n v="-250.25291479305153"/>
  </r>
  <r>
    <x v="3"/>
    <d v="2023-05-03T00:00:00"/>
    <d v="2023-05-24T00:00:00"/>
    <x v="11"/>
    <n v="9"/>
    <n v="91"/>
    <n v="6.4194773820210456"/>
    <n v="4.0101906396130911"/>
    <n v="364.92734820479131"/>
    <n v="584.17244176391512"/>
    <n v="-219.2450935591238"/>
    <n v="-17.973815255122936"/>
    <n v="-237.21890881424673"/>
    <n v="0"/>
    <n v="0"/>
    <n v="0"/>
    <n v="-237.21890881424673"/>
  </r>
  <r>
    <x v="4"/>
    <d v="2023-06-05T00:00:00"/>
    <d v="2023-06-26T00:00:00"/>
    <x v="11"/>
    <n v="9"/>
    <n v="125"/>
    <n v="6.4194773820210456"/>
    <n v="4.0101906396130911"/>
    <n v="501.2738299516364"/>
    <n v="802.43467275263072"/>
    <n v="-301.16084280099432"/>
    <n v="-24.689306669124914"/>
    <n v="-325.85014947011922"/>
    <n v="0"/>
    <n v="0"/>
    <n v="0"/>
    <n v="-325.85014947011922"/>
  </r>
  <r>
    <x v="5"/>
    <d v="2023-07-05T00:00:00"/>
    <d v="2023-07-24T00:00:00"/>
    <x v="11"/>
    <n v="9"/>
    <n v="167"/>
    <n v="6.4194773820210456"/>
    <n v="4.0101906396130911"/>
    <n v="669.70183681538617"/>
    <n v="1072.0527227975147"/>
    <n v="-402.35088598212849"/>
    <n v="-32.984913709950888"/>
    <n v="-435.33579969207938"/>
    <n v="0"/>
    <n v="0"/>
    <n v="0"/>
    <n v="-435.33579969207938"/>
  </r>
  <r>
    <x v="6"/>
    <d v="2023-08-03T00:00:00"/>
    <d v="2023-08-24T00:00:00"/>
    <x v="11"/>
    <n v="9"/>
    <n v="160"/>
    <n v="6.4194773820210456"/>
    <n v="4.0101906396130911"/>
    <n v="641.63050233809463"/>
    <n v="1027.1163811233673"/>
    <n v="-385.48587878527269"/>
    <n v="-31.602312536479889"/>
    <n v="-417.08819132175256"/>
    <n v="0"/>
    <n v="0"/>
    <n v="0"/>
    <n v="-417.08819132175256"/>
  </r>
  <r>
    <x v="7"/>
    <d v="2023-09-05T00:00:00"/>
    <d v="2023-09-25T00:00:00"/>
    <x v="11"/>
    <n v="9"/>
    <n v="181"/>
    <n v="6.4194773820210456"/>
    <n v="4.0101906396130911"/>
    <n v="725.84450576996949"/>
    <n v="1161.9254061458093"/>
    <n v="-436.08090037583986"/>
    <n v="-35.750116056892871"/>
    <n v="-471.83101643273272"/>
    <n v="0"/>
    <n v="0"/>
    <n v="0"/>
    <n v="-471.83101643273272"/>
  </r>
  <r>
    <x v="8"/>
    <d v="2023-10-04T00:00:00"/>
    <d v="2023-10-24T00:00:00"/>
    <x v="11"/>
    <n v="9"/>
    <n v="157"/>
    <n v="6.4194773820210456"/>
    <n v="4.0101906396130911"/>
    <n v="629.59993041925532"/>
    <n v="1007.8579489773042"/>
    <n v="-378.25801855804889"/>
    <n v="-31.009769176420889"/>
    <n v="-409.26778773446978"/>
    <n v="0"/>
    <n v="0"/>
    <n v="0"/>
    <n v="-409.26778773446978"/>
  </r>
  <r>
    <x v="9"/>
    <d v="2023-11-03T00:00:00"/>
    <d v="2023-11-24T00:00:00"/>
    <x v="11"/>
    <n v="9"/>
    <n v="118"/>
    <n v="6.4194773820210456"/>
    <n v="4.0101906396130911"/>
    <n v="473.20249547434474"/>
    <n v="757.49833107848337"/>
    <n v="-284.29583560413863"/>
    <n v="-23.306705495653919"/>
    <n v="-307.60254109979257"/>
    <n v="0"/>
    <n v="0"/>
    <n v="0"/>
    <n v="-307.60254109979257"/>
  </r>
  <r>
    <x v="10"/>
    <d v="2023-12-06T00:00:00"/>
    <d v="2023-12-25T00:00:00"/>
    <x v="11"/>
    <n v="9"/>
    <n v="102"/>
    <n v="6.4194773820210456"/>
    <n v="4.0101906396130911"/>
    <n v="409.03944524053531"/>
    <n v="654.78669296614669"/>
    <n v="-245.74724772561137"/>
    <n v="-20.146474242005926"/>
    <n v="-265.8937219676173"/>
    <n v="0"/>
    <n v="0"/>
    <n v="0"/>
    <n v="-265.8937219676173"/>
  </r>
  <r>
    <x v="11"/>
    <d v="2024-01-03T00:00:00"/>
    <d v="2024-01-24T00:00:00"/>
    <x v="11"/>
    <n v="9"/>
    <n v="99"/>
    <n v="6.4194773820210456"/>
    <n v="4.0101906396130911"/>
    <n v="397.008873321696"/>
    <n v="635.52826082008346"/>
    <n v="-238.51938749838746"/>
    <n v="-19.553930881946933"/>
    <n v="-258.0733183803344"/>
    <n v="0"/>
    <n v="0"/>
    <n v="0"/>
    <n v="-258.0733183803344"/>
  </r>
  <r>
    <x v="0"/>
    <d v="2023-02-03T00:00:00"/>
    <d v="2023-02-24T00:00:00"/>
    <x v="12"/>
    <n v="9"/>
    <n v="7"/>
    <n v="6.4194773820210456"/>
    <n v="4.0101906396130911"/>
    <n v="28.071334477291636"/>
    <n v="44.936341674147322"/>
    <n v="-16.865007196855686"/>
    <n v="-1.3826011734709951"/>
    <n v="-18.247608370326681"/>
    <n v="0"/>
    <n v="0"/>
    <n v="0"/>
    <n v="-18.247608370326681"/>
  </r>
  <r>
    <x v="1"/>
    <d v="2023-03-03T00:00:00"/>
    <d v="2023-03-24T00:00:00"/>
    <x v="12"/>
    <n v="9"/>
    <n v="10"/>
    <n v="6.4194773820210456"/>
    <n v="4.0101906396130911"/>
    <n v="40.101906396130914"/>
    <n v="64.194773820210457"/>
    <n v="-24.092867424079543"/>
    <n v="-1.9751445335299931"/>
    <n v="-26.068011957609535"/>
    <n v="0"/>
    <n v="0"/>
    <n v="0"/>
    <n v="-26.068011957609535"/>
  </r>
  <r>
    <x v="2"/>
    <d v="2023-04-05T00:00:00"/>
    <d v="2023-04-24T00:00:00"/>
    <x v="12"/>
    <n v="9"/>
    <n v="8"/>
    <n v="6.4194773820210456"/>
    <n v="4.0101906396130911"/>
    <n v="32.081525116904729"/>
    <n v="51.355819056168365"/>
    <n v="-19.274293939263636"/>
    <n v="-1.5801156268239944"/>
    <n v="-20.854409566087629"/>
    <n v="0"/>
    <n v="0"/>
    <n v="0"/>
    <n v="-20.854409566087629"/>
  </r>
  <r>
    <x v="3"/>
    <d v="2023-05-03T00:00:00"/>
    <d v="2023-05-24T00:00:00"/>
    <x v="12"/>
    <n v="9"/>
    <n v="8"/>
    <n v="6.4194773820210456"/>
    <n v="4.0101906396130911"/>
    <n v="32.081525116904729"/>
    <n v="51.355819056168365"/>
    <n v="-19.274293939263636"/>
    <n v="-1.5801156268239944"/>
    <n v="-20.854409566087629"/>
    <n v="0"/>
    <n v="0"/>
    <n v="0"/>
    <n v="-20.854409566087629"/>
  </r>
  <r>
    <x v="4"/>
    <d v="2023-06-05T00:00:00"/>
    <d v="2023-06-26T00:00:00"/>
    <x v="12"/>
    <n v="9"/>
    <n v="10"/>
    <n v="6.4194773820210456"/>
    <n v="4.0101906396130911"/>
    <n v="40.101906396130914"/>
    <n v="64.194773820210457"/>
    <n v="-24.092867424079543"/>
    <n v="-1.9751445335299931"/>
    <n v="-26.068011957609535"/>
    <n v="0"/>
    <n v="0"/>
    <n v="0"/>
    <n v="-26.068011957609535"/>
  </r>
  <r>
    <x v="5"/>
    <d v="2023-07-05T00:00:00"/>
    <d v="2023-07-24T00:00:00"/>
    <x v="12"/>
    <n v="9"/>
    <n v="12"/>
    <n v="6.4194773820210456"/>
    <n v="4.0101906396130911"/>
    <n v="48.122287675357093"/>
    <n v="77.033728584252543"/>
    <n v="-28.91144090889545"/>
    <n v="-2.3701734402359915"/>
    <n v="-31.281614349131441"/>
    <n v="0"/>
    <n v="0"/>
    <n v="0"/>
    <n v="-31.281614349131441"/>
  </r>
  <r>
    <x v="6"/>
    <d v="2023-08-03T00:00:00"/>
    <d v="2023-08-24T00:00:00"/>
    <x v="12"/>
    <n v="9"/>
    <n v="14"/>
    <n v="6.4194773820210456"/>
    <n v="4.0101906396130911"/>
    <n v="56.142668954583272"/>
    <n v="89.872683348294643"/>
    <n v="-33.730014393711372"/>
    <n v="-2.7652023469419902"/>
    <n v="-36.495216740653362"/>
    <n v="0"/>
    <n v="0"/>
    <n v="0"/>
    <n v="-36.495216740653362"/>
  </r>
  <r>
    <x v="7"/>
    <d v="2023-09-05T00:00:00"/>
    <d v="2023-09-25T00:00:00"/>
    <x v="12"/>
    <n v="9"/>
    <n v="13"/>
    <n v="6.4194773820210456"/>
    <n v="4.0101906396130911"/>
    <n v="52.132478314970186"/>
    <n v="83.453205966273586"/>
    <n v="-31.3207276513034"/>
    <n v="-2.5676878935889906"/>
    <n v="-33.888415544892389"/>
    <n v="0"/>
    <n v="0"/>
    <n v="0"/>
    <n v="-33.888415544892389"/>
  </r>
  <r>
    <x v="8"/>
    <d v="2023-10-04T00:00:00"/>
    <d v="2023-10-24T00:00:00"/>
    <x v="12"/>
    <n v="9"/>
    <n v="13"/>
    <n v="6.4194773820210456"/>
    <n v="4.0101906396130911"/>
    <n v="52.132478314970186"/>
    <n v="83.453205966273586"/>
    <n v="-31.3207276513034"/>
    <n v="-2.5676878935889906"/>
    <n v="-33.888415544892389"/>
    <n v="0"/>
    <n v="0"/>
    <n v="0"/>
    <n v="-33.888415544892389"/>
  </r>
  <r>
    <x v="9"/>
    <d v="2023-11-03T00:00:00"/>
    <d v="2023-11-24T00:00:00"/>
    <x v="12"/>
    <n v="9"/>
    <n v="11"/>
    <n v="6.4194773820210456"/>
    <n v="4.0101906396130911"/>
    <n v="44.112097035744"/>
    <n v="70.6142512022315"/>
    <n v="-26.5021541664875"/>
    <n v="-2.1726589868829924"/>
    <n v="-28.674813153370494"/>
    <n v="0"/>
    <n v="0"/>
    <n v="0"/>
    <n v="-28.674813153370494"/>
  </r>
  <r>
    <x v="10"/>
    <d v="2023-12-06T00:00:00"/>
    <d v="2023-12-25T00:00:00"/>
    <x v="12"/>
    <n v="9"/>
    <n v="7"/>
    <n v="6.4194773820210456"/>
    <n v="4.0101906396130911"/>
    <n v="28.071334477291636"/>
    <n v="44.936341674147322"/>
    <n v="-16.865007196855686"/>
    <n v="-1.3826011734709951"/>
    <n v="-18.247608370326681"/>
    <n v="0"/>
    <n v="0"/>
    <n v="0"/>
    <n v="-18.247608370326681"/>
  </r>
  <r>
    <x v="11"/>
    <d v="2024-01-03T00:00:00"/>
    <d v="2024-01-24T00:00:00"/>
    <x v="12"/>
    <n v="9"/>
    <n v="8"/>
    <n v="6.4194773820210456"/>
    <n v="4.0101906396130911"/>
    <n v="32.081525116904729"/>
    <n v="51.355819056168365"/>
    <n v="-19.274293939263636"/>
    <n v="-1.5801156268239944"/>
    <n v="-20.854409566087629"/>
    <n v="0"/>
    <n v="0"/>
    <n v="0"/>
    <n v="-20.854409566087629"/>
  </r>
  <r>
    <x v="0"/>
    <d v="2023-02-03T00:00:00"/>
    <d v="2023-02-24T00:00:00"/>
    <x v="13"/>
    <n v="9"/>
    <n v="21"/>
    <n v="6.4194773820210456"/>
    <n v="4.0101906396130911"/>
    <n v="84.214003431874914"/>
    <n v="134.80902502244194"/>
    <n v="-50.595021590567029"/>
    <n v="-4.1478035204129853"/>
    <n v="-54.742825110980014"/>
    <n v="0"/>
    <n v="0"/>
    <n v="0"/>
    <n v="-54.742825110980014"/>
  </r>
  <r>
    <x v="1"/>
    <d v="2023-03-03T00:00:00"/>
    <d v="2023-03-24T00:00:00"/>
    <x v="13"/>
    <n v="9"/>
    <n v="21"/>
    <n v="6.4194773820210456"/>
    <n v="4.0101906396130911"/>
    <n v="84.214003431874914"/>
    <n v="134.80902502244194"/>
    <n v="-50.595021590567029"/>
    <n v="-4.1478035204129853"/>
    <n v="-54.742825110980014"/>
    <n v="0"/>
    <n v="0"/>
    <n v="0"/>
    <n v="-54.742825110980014"/>
  </r>
  <r>
    <x v="2"/>
    <d v="2023-04-05T00:00:00"/>
    <d v="2023-04-24T00:00:00"/>
    <x v="13"/>
    <n v="9"/>
    <n v="19"/>
    <n v="6.4194773820210456"/>
    <n v="4.0101906396130911"/>
    <n v="76.193622152648729"/>
    <n v="121.97007025839987"/>
    <n v="-45.776448105751143"/>
    <n v="-3.7527746137069871"/>
    <n v="-49.529222719458133"/>
    <n v="0"/>
    <n v="0"/>
    <n v="0"/>
    <n v="-49.529222719458133"/>
  </r>
  <r>
    <x v="3"/>
    <d v="2023-05-03T00:00:00"/>
    <d v="2023-05-24T00:00:00"/>
    <x v="13"/>
    <n v="9"/>
    <n v="21"/>
    <n v="6.4194773820210456"/>
    <n v="4.0101906396130911"/>
    <n v="84.214003431874914"/>
    <n v="134.80902502244194"/>
    <n v="-50.595021590567029"/>
    <n v="-4.1478035204129853"/>
    <n v="-54.742825110980014"/>
    <n v="0"/>
    <n v="0"/>
    <n v="0"/>
    <n v="-54.742825110980014"/>
  </r>
  <r>
    <x v="4"/>
    <d v="2023-06-05T00:00:00"/>
    <d v="2023-06-26T00:00:00"/>
    <x v="13"/>
    <n v="9"/>
    <n v="28"/>
    <n v="6.4194773820210456"/>
    <n v="4.0101906396130911"/>
    <n v="112.28533790916654"/>
    <n v="179.74536669658929"/>
    <n v="-67.460028787422743"/>
    <n v="-5.5304046938839804"/>
    <n v="-72.990433481306724"/>
    <n v="0"/>
    <n v="0"/>
    <n v="0"/>
    <n v="-72.990433481306724"/>
  </r>
  <r>
    <x v="5"/>
    <d v="2023-07-05T00:00:00"/>
    <d v="2023-07-24T00:00:00"/>
    <x v="13"/>
    <n v="9"/>
    <n v="37"/>
    <n v="6.4194773820210456"/>
    <n v="4.0101906396130911"/>
    <n v="148.37705366568437"/>
    <n v="237.52066313477869"/>
    <n v="-89.143609469094315"/>
    <n v="-7.3080347740609737"/>
    <n v="-96.451644243155286"/>
    <n v="0"/>
    <n v="0"/>
    <n v="0"/>
    <n v="-96.451644243155286"/>
  </r>
  <r>
    <x v="6"/>
    <d v="2023-08-03T00:00:00"/>
    <d v="2023-08-24T00:00:00"/>
    <x v="13"/>
    <n v="9"/>
    <n v="38"/>
    <n v="6.4194773820210456"/>
    <n v="4.0101906396130911"/>
    <n v="152.38724430529746"/>
    <n v="243.94014051679974"/>
    <n v="-91.552896211502286"/>
    <n v="-7.5055492274139741"/>
    <n v="-99.058445438916266"/>
    <n v="0"/>
    <n v="0"/>
    <n v="0"/>
    <n v="-99.058445438916266"/>
  </r>
  <r>
    <x v="7"/>
    <d v="2023-09-05T00:00:00"/>
    <d v="2023-09-25T00:00:00"/>
    <x v="13"/>
    <n v="9"/>
    <n v="40"/>
    <n v="6.4194773820210456"/>
    <n v="4.0101906396130911"/>
    <n v="160.40762558452366"/>
    <n v="256.77909528084183"/>
    <n v="-96.371469696318172"/>
    <n v="-7.9005781341199723"/>
    <n v="-104.27204783043814"/>
    <n v="0"/>
    <n v="0"/>
    <n v="0"/>
    <n v="-104.27204783043814"/>
  </r>
  <r>
    <x v="8"/>
    <d v="2023-10-04T00:00:00"/>
    <d v="2023-10-24T00:00:00"/>
    <x v="13"/>
    <n v="9"/>
    <n v="37"/>
    <n v="6.4194773820210456"/>
    <n v="4.0101906396130911"/>
    <n v="148.37705366568437"/>
    <n v="237.52066313477869"/>
    <n v="-89.143609469094315"/>
    <n v="-7.3080347740609737"/>
    <n v="-96.451644243155286"/>
    <n v="0"/>
    <n v="0"/>
    <n v="0"/>
    <n v="-96.451644243155286"/>
  </r>
  <r>
    <x v="9"/>
    <d v="2023-11-03T00:00:00"/>
    <d v="2023-11-24T00:00:00"/>
    <x v="13"/>
    <n v="9"/>
    <n v="30"/>
    <n v="6.4194773820210456"/>
    <n v="4.0101906396130911"/>
    <n v="120.30571918839273"/>
    <n v="192.58432146063137"/>
    <n v="-72.278602272238643"/>
    <n v="-5.9254336005899795"/>
    <n v="-78.204035872828626"/>
    <n v="0"/>
    <n v="0"/>
    <n v="0"/>
    <n v="-78.204035872828626"/>
  </r>
  <r>
    <x v="10"/>
    <d v="2023-12-06T00:00:00"/>
    <d v="2023-12-25T00:00:00"/>
    <x v="13"/>
    <n v="9"/>
    <n v="19"/>
    <n v="6.4194773820210456"/>
    <n v="4.0101906396130911"/>
    <n v="76.193622152648729"/>
    <n v="121.97007025839987"/>
    <n v="-45.776448105751143"/>
    <n v="-3.7527746137069871"/>
    <n v="-49.529222719458133"/>
    <n v="0"/>
    <n v="0"/>
    <n v="0"/>
    <n v="-49.529222719458133"/>
  </r>
  <r>
    <x v="11"/>
    <d v="2024-01-03T00:00:00"/>
    <d v="2024-01-24T00:00:00"/>
    <x v="13"/>
    <n v="9"/>
    <n v="20"/>
    <n v="6.4194773820210456"/>
    <n v="4.0101906396130911"/>
    <n v="80.203812792261829"/>
    <n v="128.38954764042091"/>
    <n v="-48.185734848159086"/>
    <n v="-3.9502890670599862"/>
    <n v="-52.13602391521907"/>
    <n v="0"/>
    <n v="0"/>
    <n v="0"/>
    <n v="-52.13602391521907"/>
  </r>
  <r>
    <x v="0"/>
    <d v="2023-02-03T00:00:00"/>
    <d v="2023-02-24T00:00:00"/>
    <x v="14"/>
    <n v="9"/>
    <n v="36"/>
    <n v="6.4194773820210456"/>
    <n v="4.0101906396130911"/>
    <n v="144.36686302607129"/>
    <n v="231.10118575275763"/>
    <n v="-86.734322726686344"/>
    <n v="-7.110520320707975"/>
    <n v="-93.84484304739432"/>
    <n v="0"/>
    <n v="0"/>
    <n v="0"/>
    <n v="-93.84484304739432"/>
  </r>
  <r>
    <x v="1"/>
    <d v="2023-03-03T00:00:00"/>
    <d v="2023-03-24T00:00:00"/>
    <x v="14"/>
    <n v="9"/>
    <n v="32"/>
    <n v="6.4194773820210456"/>
    <n v="4.0101906396130911"/>
    <n v="128.32610046761891"/>
    <n v="205.42327622467346"/>
    <n v="-77.097175757054544"/>
    <n v="-6.3204625072959777"/>
    <n v="-83.417638264350515"/>
    <n v="0"/>
    <n v="0"/>
    <n v="0"/>
    <n v="-83.417638264350515"/>
  </r>
  <r>
    <x v="2"/>
    <d v="2023-04-05T00:00:00"/>
    <d v="2023-04-24T00:00:00"/>
    <x v="14"/>
    <n v="9"/>
    <n v="32"/>
    <n v="6.4194773820210456"/>
    <n v="4.0101906396130911"/>
    <n v="128.32610046761891"/>
    <n v="205.42327622467346"/>
    <n v="-77.097175757054544"/>
    <n v="-6.3204625072959777"/>
    <n v="-83.417638264350515"/>
    <n v="0"/>
    <n v="0"/>
    <n v="0"/>
    <n v="-83.417638264350515"/>
  </r>
  <r>
    <x v="3"/>
    <d v="2023-05-03T00:00:00"/>
    <d v="2023-05-24T00:00:00"/>
    <x v="14"/>
    <n v="9"/>
    <n v="31"/>
    <n v="6.4194773820210456"/>
    <n v="4.0101906396130911"/>
    <n v="124.31590982800583"/>
    <n v="199.0037988426524"/>
    <n v="-74.687889014646572"/>
    <n v="-6.1229480539429781"/>
    <n v="-80.810837068589549"/>
    <n v="0"/>
    <n v="0"/>
    <n v="0"/>
    <n v="-80.810837068589549"/>
  </r>
  <r>
    <x v="4"/>
    <d v="2023-06-05T00:00:00"/>
    <d v="2023-06-26T00:00:00"/>
    <x v="14"/>
    <n v="9"/>
    <n v="38"/>
    <n v="6.4194773820210456"/>
    <n v="4.0101906396130911"/>
    <n v="152.38724430529746"/>
    <n v="243.94014051679974"/>
    <n v="-91.552896211502286"/>
    <n v="-7.5055492274139741"/>
    <n v="-99.058445438916266"/>
    <n v="0"/>
    <n v="0"/>
    <n v="0"/>
    <n v="-99.058445438916266"/>
  </r>
  <r>
    <x v="5"/>
    <d v="2023-07-05T00:00:00"/>
    <d v="2023-07-24T00:00:00"/>
    <x v="14"/>
    <n v="9"/>
    <n v="48"/>
    <n v="6.4194773820210456"/>
    <n v="4.0101906396130911"/>
    <n v="192.48915070142837"/>
    <n v="308.13491433701017"/>
    <n v="-115.6457636355818"/>
    <n v="-9.4806937609439661"/>
    <n v="-125.12645739652577"/>
    <n v="0"/>
    <n v="0"/>
    <n v="0"/>
    <n v="-125.12645739652577"/>
  </r>
  <r>
    <x v="6"/>
    <d v="2023-08-03T00:00:00"/>
    <d v="2023-08-24T00:00:00"/>
    <x v="14"/>
    <n v="9"/>
    <n v="49"/>
    <n v="6.4194773820210456"/>
    <n v="4.0101906396130911"/>
    <n v="196.49934134104146"/>
    <n v="314.55439171903123"/>
    <n v="-118.05505037798977"/>
    <n v="-9.6782082142969657"/>
    <n v="-127.73325859228675"/>
    <n v="0"/>
    <n v="0"/>
    <n v="0"/>
    <n v="-127.73325859228675"/>
  </r>
  <r>
    <x v="7"/>
    <d v="2023-09-05T00:00:00"/>
    <d v="2023-09-25T00:00:00"/>
    <x v="14"/>
    <n v="9"/>
    <n v="50"/>
    <n v="6.4194773820210456"/>
    <n v="4.0101906396130911"/>
    <n v="200.50953198065454"/>
    <n v="320.97386910105229"/>
    <n v="-120.46433712039774"/>
    <n v="-9.8757226676499652"/>
    <n v="-130.34005978804771"/>
    <n v="0"/>
    <n v="0"/>
    <n v="0"/>
    <n v="-130.34005978804771"/>
  </r>
  <r>
    <x v="8"/>
    <d v="2023-10-04T00:00:00"/>
    <d v="2023-10-24T00:00:00"/>
    <x v="14"/>
    <n v="9"/>
    <n v="47"/>
    <n v="6.4194773820210456"/>
    <n v="4.0101906396130911"/>
    <n v="188.47896006181529"/>
    <n v="301.71543695498912"/>
    <n v="-113.23647689317383"/>
    <n v="-9.2831793075909665"/>
    <n v="-122.5196562007648"/>
    <n v="0"/>
    <n v="0"/>
    <n v="0"/>
    <n v="-122.5196562007648"/>
  </r>
  <r>
    <x v="9"/>
    <d v="2023-11-03T00:00:00"/>
    <d v="2023-11-24T00:00:00"/>
    <x v="14"/>
    <n v="9"/>
    <n v="36"/>
    <n v="6.4194773820210456"/>
    <n v="4.0101906396130911"/>
    <n v="144.36686302607129"/>
    <n v="231.10118575275763"/>
    <n v="-86.734322726686344"/>
    <n v="-7.110520320707975"/>
    <n v="-93.84484304739432"/>
    <n v="0"/>
    <n v="0"/>
    <n v="0"/>
    <n v="-93.84484304739432"/>
  </r>
  <r>
    <x v="10"/>
    <d v="2023-12-06T00:00:00"/>
    <d v="2023-12-25T00:00:00"/>
    <x v="14"/>
    <n v="9"/>
    <n v="26"/>
    <n v="6.4194773820210456"/>
    <n v="4.0101906396130911"/>
    <n v="104.26495662994037"/>
    <n v="166.90641193254717"/>
    <n v="-62.641455302606801"/>
    <n v="-5.1353757871779813"/>
    <n v="-67.776831089784778"/>
    <n v="0"/>
    <n v="0"/>
    <n v="0"/>
    <n v="-67.776831089784778"/>
  </r>
  <r>
    <x v="11"/>
    <d v="2024-01-03T00:00:00"/>
    <d v="2024-01-24T00:00:00"/>
    <x v="14"/>
    <n v="9"/>
    <n v="31"/>
    <n v="6.4194773820210456"/>
    <n v="4.0101906396130911"/>
    <n v="124.31590982800583"/>
    <n v="199.0037988426524"/>
    <n v="-74.687889014646572"/>
    <n v="-6.1229480539429781"/>
    <n v="-80.810837068589549"/>
    <n v="0"/>
    <n v="0"/>
    <n v="0"/>
    <n v="-80.810837068589549"/>
  </r>
  <r>
    <x v="0"/>
    <d v="2023-02-03T00:00:00"/>
    <d v="2023-02-24T00:00:00"/>
    <x v="15"/>
    <n v="9"/>
    <n v="104"/>
    <n v="6.4194773820210456"/>
    <n v="4.0101906396130911"/>
    <n v="417.05982651976149"/>
    <n v="667.62564773018869"/>
    <n v="-250.5658212104272"/>
    <n v="-20.541503148711925"/>
    <n v="-271.10732435913911"/>
    <n v="0"/>
    <n v="0"/>
    <n v="0"/>
    <n v="-271.10732435913911"/>
  </r>
  <r>
    <x v="1"/>
    <d v="2023-03-03T00:00:00"/>
    <d v="2023-03-24T00:00:00"/>
    <x v="15"/>
    <n v="9"/>
    <n v="107"/>
    <n v="6.4194773820210456"/>
    <n v="4.0101906396130911"/>
    <n v="429.09039843860074"/>
    <n v="686.88407987625192"/>
    <n v="-257.79368143765117"/>
    <n v="-21.134046508770925"/>
    <n v="-278.92772794642212"/>
    <n v="0"/>
    <n v="0"/>
    <n v="0"/>
    <n v="-278.92772794642212"/>
  </r>
  <r>
    <x v="2"/>
    <d v="2023-04-05T00:00:00"/>
    <d v="2023-04-24T00:00:00"/>
    <x v="15"/>
    <n v="9"/>
    <n v="103"/>
    <n v="6.4194773820210456"/>
    <n v="4.0101906396130911"/>
    <n v="413.0496358801484"/>
    <n v="661.20617034816769"/>
    <n v="-248.15653446801929"/>
    <n v="-20.343988695358927"/>
    <n v="-268.5005231633782"/>
    <n v="0"/>
    <n v="0"/>
    <n v="0"/>
    <n v="-268.5005231633782"/>
  </r>
  <r>
    <x v="3"/>
    <d v="2023-05-03T00:00:00"/>
    <d v="2023-05-24T00:00:00"/>
    <x v="15"/>
    <n v="9"/>
    <n v="98"/>
    <n v="6.4194773820210456"/>
    <n v="4.0101906396130911"/>
    <n v="392.99868268208292"/>
    <n v="629.10878343806246"/>
    <n v="-236.11010075597954"/>
    <n v="-19.356416428593931"/>
    <n v="-255.46651718457349"/>
    <n v="0"/>
    <n v="0"/>
    <n v="0"/>
    <n v="-255.46651718457349"/>
  </r>
  <r>
    <x v="4"/>
    <d v="2023-06-05T00:00:00"/>
    <d v="2023-06-26T00:00:00"/>
    <x v="15"/>
    <n v="9"/>
    <n v="105"/>
    <n v="6.4194773820210456"/>
    <n v="4.0101906396130911"/>
    <n v="421.07001715937457"/>
    <n v="674.0451251122098"/>
    <n v="-252.97510795283523"/>
    <n v="-20.739017602064926"/>
    <n v="-273.71412555490014"/>
    <n v="0"/>
    <n v="0"/>
    <n v="0"/>
    <n v="-273.71412555490014"/>
  </r>
  <r>
    <x v="5"/>
    <d v="2023-07-05T00:00:00"/>
    <d v="2023-07-24T00:00:00"/>
    <x v="15"/>
    <n v="9"/>
    <n v="115"/>
    <n v="6.4194773820210456"/>
    <n v="4.0101906396130911"/>
    <n v="461.17192355550549"/>
    <n v="738.23989893242026"/>
    <n v="-277.06797537691477"/>
    <n v="-22.714162135594918"/>
    <n v="-299.78213751250968"/>
    <n v="0"/>
    <n v="0"/>
    <n v="0"/>
    <n v="-299.78213751250968"/>
  </r>
  <r>
    <x v="6"/>
    <d v="2023-08-03T00:00:00"/>
    <d v="2023-08-24T00:00:00"/>
    <x v="15"/>
    <n v="9"/>
    <n v="110"/>
    <n v="6.4194773820210456"/>
    <n v="4.0101906396130911"/>
    <n v="441.12097035744"/>
    <n v="706.14251202231503"/>
    <n v="-265.02154166487503"/>
    <n v="-21.726589868829926"/>
    <n v="-286.74813153370496"/>
    <n v="0"/>
    <n v="0"/>
    <n v="0"/>
    <n v="-286.74813153370496"/>
  </r>
  <r>
    <x v="7"/>
    <d v="2023-09-05T00:00:00"/>
    <d v="2023-09-25T00:00:00"/>
    <x v="15"/>
    <n v="9"/>
    <n v="109"/>
    <n v="6.4194773820210456"/>
    <n v="4.0101906396130911"/>
    <n v="437.11077971782692"/>
    <n v="699.72303464029392"/>
    <n v="-262.612254922467"/>
    <n v="-21.529075415476925"/>
    <n v="-284.14133033794394"/>
    <n v="0"/>
    <n v="0"/>
    <n v="0"/>
    <n v="-284.14133033794394"/>
  </r>
  <r>
    <x v="8"/>
    <d v="2023-10-04T00:00:00"/>
    <d v="2023-10-24T00:00:00"/>
    <x v="15"/>
    <n v="9"/>
    <n v="112"/>
    <n v="6.4194773820210456"/>
    <n v="4.0101906396130911"/>
    <n v="449.14135163666617"/>
    <n v="718.98146678635715"/>
    <n v="-269.84011514969097"/>
    <n v="-22.121618775535921"/>
    <n v="-291.96173392522689"/>
    <n v="0"/>
    <n v="0"/>
    <n v="0"/>
    <n v="-291.96173392522689"/>
  </r>
  <r>
    <x v="9"/>
    <d v="2023-11-03T00:00:00"/>
    <d v="2023-11-24T00:00:00"/>
    <x v="15"/>
    <n v="9"/>
    <n v="107"/>
    <n v="6.4194773820210456"/>
    <n v="4.0101906396130911"/>
    <n v="429.09039843860074"/>
    <n v="686.88407987625192"/>
    <n v="-257.79368143765117"/>
    <n v="-21.134046508770925"/>
    <n v="-278.92772794642212"/>
    <n v="0"/>
    <n v="0"/>
    <n v="0"/>
    <n v="-278.92772794642212"/>
  </r>
  <r>
    <x v="10"/>
    <d v="2023-12-06T00:00:00"/>
    <d v="2023-12-25T00:00:00"/>
    <x v="15"/>
    <n v="9"/>
    <n v="104"/>
    <n v="6.4194773820210456"/>
    <n v="4.0101906396130911"/>
    <n v="417.05982651976149"/>
    <n v="667.62564773018869"/>
    <n v="-250.5658212104272"/>
    <n v="-20.541503148711925"/>
    <n v="-271.10732435913911"/>
    <n v="0"/>
    <n v="0"/>
    <n v="0"/>
    <n v="-271.10732435913911"/>
  </r>
  <r>
    <x v="11"/>
    <d v="2024-01-03T00:00:00"/>
    <d v="2024-01-24T00:00:00"/>
    <x v="15"/>
    <n v="9"/>
    <n v="101"/>
    <n v="6.4194773820210456"/>
    <n v="4.0101906396130911"/>
    <n v="405.02925460092217"/>
    <n v="648.36721558412557"/>
    <n v="-243.3379609832034"/>
    <n v="-19.948959788652932"/>
    <n v="-263.28692077185633"/>
    <n v="0"/>
    <n v="0"/>
    <n v="0"/>
    <n v="-263.286920771856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67" dataOnRows="1" applyNumberFormats="0" applyBorderFormats="0" applyFontFormats="0" applyPatternFormats="0" applyAlignmentFormats="0" applyWidthHeightFormats="1" dataCaption="Data" updatedVersion="8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69">
        <item m="1" x="69"/>
        <item m="1" x="93"/>
        <item m="1" x="117"/>
        <item m="1" x="141"/>
        <item m="1" x="165"/>
        <item m="1" x="45"/>
        <item m="1" x="80"/>
        <item m="1" x="104"/>
        <item m="1" x="128"/>
        <item m="1" x="152"/>
        <item m="1" x="32"/>
        <item m="1" x="56"/>
        <item m="1" x="70"/>
        <item m="1" x="94"/>
        <item m="1" x="118"/>
        <item m="1" x="142"/>
        <item m="1" x="166"/>
        <item m="1" x="46"/>
        <item m="1" x="82"/>
        <item m="1" x="106"/>
        <item m="1" x="130"/>
        <item m="1" x="154"/>
        <item m="1" x="34"/>
        <item m="1" x="58"/>
        <item m="1" x="71"/>
        <item m="1" x="95"/>
        <item m="1" x="119"/>
        <item m="1" x="143"/>
        <item m="1" x="167"/>
        <item m="1" x="47"/>
        <item m="1" x="83"/>
        <item m="1" x="107"/>
        <item m="1" x="131"/>
        <item m="1" x="155"/>
        <item m="1" x="35"/>
        <item m="1" x="59"/>
        <item m="1" x="72"/>
        <item m="1" x="96"/>
        <item m="1" x="120"/>
        <item m="1" x="144"/>
        <item m="1" x="24"/>
        <item m="1" x="48"/>
        <item m="1" x="84"/>
        <item m="1" x="108"/>
        <item m="1" x="132"/>
        <item m="1" x="156"/>
        <item m="1" x="36"/>
        <item m="1" x="60"/>
        <item m="1" x="73"/>
        <item m="1" x="97"/>
        <item m="1" x="121"/>
        <item m="1" x="145"/>
        <item m="1" x="25"/>
        <item m="1" x="49"/>
        <item m="1" x="85"/>
        <item m="1" x="109"/>
        <item m="1" x="133"/>
        <item m="1" x="157"/>
        <item m="1" x="37"/>
        <item m="1" x="61"/>
        <item m="1" x="74"/>
        <item m="1" x="98"/>
        <item m="1" x="122"/>
        <item m="1" x="146"/>
        <item m="1" x="26"/>
        <item m="1" x="50"/>
        <item m="1" x="86"/>
        <item m="1" x="110"/>
        <item m="1" x="134"/>
        <item m="1" x="158"/>
        <item m="1" x="38"/>
        <item m="1" x="62"/>
        <item m="1" x="75"/>
        <item m="1" x="99"/>
        <item m="1" x="123"/>
        <item m="1" x="147"/>
        <item m="1" x="27"/>
        <item m="1" x="51"/>
        <item m="1" x="87"/>
        <item m="1" x="111"/>
        <item m="1" x="135"/>
        <item m="1" x="159"/>
        <item m="1" x="39"/>
        <item m="1" x="63"/>
        <item m="1" x="76"/>
        <item m="1" x="100"/>
        <item m="1" x="124"/>
        <item m="1" x="148"/>
        <item m="1" x="28"/>
        <item m="1" x="52"/>
        <item m="1" x="88"/>
        <item m="1" x="112"/>
        <item m="1" x="136"/>
        <item m="1" x="160"/>
        <item m="1" x="40"/>
        <item m="1" x="64"/>
        <item m="1" x="77"/>
        <item m="1" x="101"/>
        <item m="1" x="125"/>
        <item m="1" x="149"/>
        <item m="1" x="29"/>
        <item m="1" x="53"/>
        <item m="1" x="89"/>
        <item m="1" x="113"/>
        <item m="1" x="137"/>
        <item m="1" x="161"/>
        <item m="1" x="41"/>
        <item m="1" x="65"/>
        <item m="1" x="78"/>
        <item m="1" x="102"/>
        <item m="1" x="126"/>
        <item m="1" x="150"/>
        <item m="1" x="30"/>
        <item m="1" x="54"/>
        <item m="1" x="90"/>
        <item m="1" x="114"/>
        <item m="1" x="138"/>
        <item m="1" x="162"/>
        <item m="1" x="42"/>
        <item m="1" x="66"/>
        <item m="1" x="79"/>
        <item m="1" x="103"/>
        <item m="1" x="127"/>
        <item m="1" x="151"/>
        <item m="1" x="31"/>
        <item m="1" x="55"/>
        <item m="1" x="91"/>
        <item m="1" x="115"/>
        <item m="1" x="139"/>
        <item m="1" x="163"/>
        <item m="1" x="43"/>
        <item m="1" x="67"/>
        <item m="1" x="81"/>
        <item m="1" x="105"/>
        <item m="1" x="129"/>
        <item m="1" x="153"/>
        <item m="1" x="33"/>
        <item m="1" x="57"/>
        <item m="1" x="92"/>
        <item m="1" x="116"/>
        <item m="1" x="140"/>
        <item m="1" x="164"/>
        <item m="1" x="44"/>
        <item m="1" x="68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 defaultSubtota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workbookViewId="0">
      <selection activeCell="R18" sqref="A1:R18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62</v>
      </c>
    </row>
    <row r="3" spans="1:2" x14ac:dyDescent="0.25">
      <c r="A3" s="2">
        <v>1</v>
      </c>
      <c r="B3" s="3" t="s">
        <v>64</v>
      </c>
    </row>
    <row r="4" spans="1:2" ht="13" x14ac:dyDescent="0.3">
      <c r="A4" s="2">
        <v>2</v>
      </c>
      <c r="B4" s="3" t="s">
        <v>63</v>
      </c>
    </row>
    <row r="5" spans="1:2" ht="13" x14ac:dyDescent="0.3">
      <c r="A5" s="2">
        <v>3</v>
      </c>
      <c r="B5" s="3" t="s">
        <v>65</v>
      </c>
    </row>
    <row r="6" spans="1:2" ht="13" x14ac:dyDescent="0.3">
      <c r="A6" s="2">
        <v>4</v>
      </c>
      <c r="B6" s="4" t="s">
        <v>79</v>
      </c>
    </row>
    <row r="7" spans="1:2" x14ac:dyDescent="0.25">
      <c r="A7" s="2">
        <v>5</v>
      </c>
      <c r="B7" s="3" t="s">
        <v>66</v>
      </c>
    </row>
    <row r="8" spans="1:2" x14ac:dyDescent="0.25">
      <c r="A8" s="2">
        <v>6</v>
      </c>
      <c r="B8" s="3" t="s">
        <v>67</v>
      </c>
    </row>
    <row r="9" spans="1:2" x14ac:dyDescent="0.25">
      <c r="A9" s="2">
        <v>7</v>
      </c>
      <c r="B9" s="5" t="s">
        <v>68</v>
      </c>
    </row>
    <row r="10" spans="1:2" ht="13" x14ac:dyDescent="0.3">
      <c r="A10" s="2">
        <v>8</v>
      </c>
      <c r="B10" s="3" t="s">
        <v>71</v>
      </c>
    </row>
    <row r="11" spans="1:2" x14ac:dyDescent="0.25">
      <c r="A11" s="2"/>
      <c r="B11" s="3" t="s">
        <v>72</v>
      </c>
    </row>
    <row r="12" spans="1:2" x14ac:dyDescent="0.25">
      <c r="A12" s="2"/>
      <c r="B12" s="5" t="s">
        <v>73</v>
      </c>
    </row>
    <row r="13" spans="1:2" x14ac:dyDescent="0.25">
      <c r="A13" s="2"/>
      <c r="B13" s="5" t="s">
        <v>74</v>
      </c>
    </row>
    <row r="14" spans="1:2" x14ac:dyDescent="0.25">
      <c r="A14" s="2">
        <v>9</v>
      </c>
      <c r="B14" s="3" t="s">
        <v>75</v>
      </c>
    </row>
    <row r="15" spans="1:2" x14ac:dyDescent="0.25">
      <c r="A15" s="2">
        <v>10</v>
      </c>
      <c r="B15" s="3" t="s">
        <v>77</v>
      </c>
    </row>
    <row r="16" spans="1:2" x14ac:dyDescent="0.25">
      <c r="A16" s="2">
        <v>11</v>
      </c>
      <c r="B16" s="3" t="s">
        <v>78</v>
      </c>
    </row>
    <row r="17" spans="1:1" x14ac:dyDescent="0.25">
      <c r="A17" s="2"/>
    </row>
  </sheetData>
  <phoneticPr fontId="6" type="noConversion"/>
  <pageMargins left="0.75" right="0.75" top="1" bottom="1" header="0.5" footer="0.5"/>
  <pageSetup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41"/>
  <sheetViews>
    <sheetView tabSelected="1" topLeftCell="A17" zoomScale="85" zoomScaleNormal="85" zoomScaleSheetLayoutView="100" workbookViewId="0">
      <selection activeCell="G23" sqref="G23"/>
    </sheetView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14" width="14" style="1" customWidth="1"/>
    <col min="15" max="15" width="15" style="1" customWidth="1"/>
    <col min="16" max="108" width="31.7265625" style="1" customWidth="1"/>
    <col min="109" max="109" width="11.453125" style="1" customWidth="1"/>
    <col min="110" max="16384" width="33.26953125" style="1"/>
  </cols>
  <sheetData>
    <row r="1" spans="2:17" ht="13" x14ac:dyDescent="0.3">
      <c r="C1" s="235" t="str">
        <f>+Transactions!B1</f>
        <v>AEPTCo Formula Rate -- FERC Docket ER18-195</v>
      </c>
      <c r="D1" s="235"/>
      <c r="E1" s="235"/>
      <c r="F1" s="235"/>
      <c r="G1" s="235"/>
      <c r="H1" s="235"/>
      <c r="I1" s="235"/>
      <c r="J1" s="6">
        <v>2023</v>
      </c>
    </row>
    <row r="2" spans="2:17" ht="13" x14ac:dyDescent="0.3">
      <c r="C2" s="235" t="s">
        <v>95</v>
      </c>
      <c r="D2" s="235"/>
      <c r="E2" s="235"/>
      <c r="F2" s="235"/>
      <c r="G2" s="235"/>
      <c r="H2" s="235"/>
      <c r="I2" s="235"/>
    </row>
    <row r="3" spans="2:17" ht="13" x14ac:dyDescent="0.3">
      <c r="C3" s="235" t="str">
        <f>"for period 01/01/"&amp;F8&amp;" - 12/31/"&amp;F8</f>
        <v>for period 01/01/2023 - 12/31/2023</v>
      </c>
      <c r="D3" s="235"/>
      <c r="E3" s="235"/>
      <c r="F3" s="235"/>
      <c r="G3" s="235"/>
      <c r="H3" s="235"/>
      <c r="I3" s="235"/>
    </row>
    <row r="4" spans="2:17" ht="13" x14ac:dyDescent="0.3">
      <c r="C4" s="235" t="s">
        <v>93</v>
      </c>
      <c r="D4" s="235"/>
      <c r="E4" s="235"/>
      <c r="F4" s="235"/>
      <c r="G4" s="235"/>
      <c r="H4" s="235"/>
      <c r="I4" s="235"/>
    </row>
    <row r="5" spans="2:17" x14ac:dyDescent="0.25">
      <c r="C5" s="7" t="str">
        <f>"Prepared:  May 24_, "&amp;J1+1&amp;""</f>
        <v>Prepared:  May 24_, 2024</v>
      </c>
      <c r="D5" s="8"/>
    </row>
    <row r="6" spans="2:17" x14ac:dyDescent="0.25">
      <c r="C6" s="9"/>
    </row>
    <row r="7" spans="2:17" ht="13" x14ac:dyDescent="0.3">
      <c r="C7" s="10"/>
    </row>
    <row r="8" spans="2:17" ht="27.75" customHeight="1" thickBot="1" x14ac:dyDescent="0.3">
      <c r="F8" s="11">
        <v>2023</v>
      </c>
    </row>
    <row r="9" spans="2:17" ht="20.25" customHeight="1" x14ac:dyDescent="0.3">
      <c r="E9" s="12" t="s">
        <v>92</v>
      </c>
      <c r="F9" s="13"/>
      <c r="G9" s="14"/>
      <c r="H9" s="15"/>
      <c r="J9" s="2"/>
    </row>
    <row r="10" spans="2:17" ht="42" customHeight="1" thickBot="1" x14ac:dyDescent="0.3">
      <c r="B10" s="16"/>
      <c r="E10" s="17" t="str">
        <f>"(per "&amp;$F8&amp;" Projections "&amp;$F8&amp;")"</f>
        <v>(per 2023 Projections 2023)</v>
      </c>
      <c r="F10" s="18" t="str">
        <f>"(per "&amp;F8&amp;" Update of May "&amp;F8+1&amp;")"</f>
        <v>(per 2023 Update of May 2024)</v>
      </c>
      <c r="G10" s="19"/>
      <c r="H10" s="20"/>
    </row>
    <row r="11" spans="2:17" ht="21.75" customHeight="1" x14ac:dyDescent="0.25">
      <c r="B11" s="21"/>
      <c r="C11" s="22" t="s">
        <v>38</v>
      </c>
      <c r="D11" s="23" t="s">
        <v>36</v>
      </c>
      <c r="E11" s="24">
        <f>Transactions!K2</f>
        <v>702470.57095979899</v>
      </c>
      <c r="F11" s="25"/>
      <c r="G11" s="26"/>
      <c r="H11" s="27"/>
    </row>
    <row r="12" spans="2:17" ht="21.75" customHeight="1" x14ac:dyDescent="0.25">
      <c r="B12" s="21"/>
      <c r="C12" s="28"/>
      <c r="D12" s="29" t="s">
        <v>41</v>
      </c>
      <c r="E12" s="30"/>
      <c r="F12" s="31">
        <f>+Transactions!J2</f>
        <v>409753.25917438645</v>
      </c>
      <c r="G12" s="32"/>
      <c r="H12" s="33"/>
    </row>
    <row r="13" spans="2:17" ht="21.75" customHeight="1" x14ac:dyDescent="0.25">
      <c r="B13" s="34"/>
      <c r="C13" s="35" t="s">
        <v>39</v>
      </c>
      <c r="D13" s="36" t="s">
        <v>37</v>
      </c>
      <c r="E13" s="37">
        <f>Transactions!K3</f>
        <v>6.4194773820210456</v>
      </c>
      <c r="F13" s="33"/>
      <c r="G13" s="38"/>
      <c r="H13" s="39"/>
    </row>
    <row r="14" spans="2:17" ht="21.75" customHeight="1" thickBot="1" x14ac:dyDescent="0.3">
      <c r="B14" s="16"/>
      <c r="C14" s="40"/>
      <c r="D14" s="41" t="s">
        <v>40</v>
      </c>
      <c r="E14" s="42"/>
      <c r="F14" s="43">
        <f>+Transactions!J3</f>
        <v>4.0101906396130911</v>
      </c>
      <c r="G14" s="44"/>
      <c r="H14" s="33"/>
    </row>
    <row r="15" spans="2:17" x14ac:dyDescent="0.25">
      <c r="B15" s="21"/>
      <c r="E15" s="45"/>
    </row>
    <row r="16" spans="2:17" ht="13" x14ac:dyDescent="0.3">
      <c r="B16" s="34"/>
      <c r="C16" s="34"/>
      <c r="D16" s="46"/>
      <c r="E16" s="34"/>
      <c r="F16" s="47"/>
      <c r="G16" s="48"/>
      <c r="H16" s="48"/>
      <c r="J16" s="45"/>
      <c r="L16" s="50"/>
      <c r="M16" s="51"/>
      <c r="N16" s="51"/>
      <c r="O16" s="51"/>
      <c r="P16" s="51"/>
      <c r="Q16" s="51"/>
    </row>
    <row r="17" spans="2:17" ht="13" x14ac:dyDescent="0.3">
      <c r="C17" s="10"/>
      <c r="L17" s="52"/>
      <c r="M17" s="51"/>
      <c r="N17" s="51"/>
      <c r="O17" s="51"/>
      <c r="P17" s="51"/>
      <c r="Q17" s="51"/>
    </row>
    <row r="18" spans="2:17" x14ac:dyDescent="0.25">
      <c r="C18" s="50"/>
      <c r="D18" s="50"/>
      <c r="E18" s="50"/>
      <c r="F18" s="50"/>
      <c r="G18" s="50"/>
      <c r="H18" s="50"/>
      <c r="I18" s="50"/>
      <c r="L18" s="50"/>
      <c r="M18" s="51"/>
      <c r="N18" s="51"/>
      <c r="O18" s="51"/>
      <c r="P18" s="51"/>
      <c r="Q18" s="51"/>
    </row>
    <row r="19" spans="2:17" ht="21" customHeight="1" thickBot="1" x14ac:dyDescent="0.3">
      <c r="C19" s="53" t="s">
        <v>31</v>
      </c>
      <c r="D19" s="53" t="s">
        <v>32</v>
      </c>
      <c r="E19" s="54" t="s">
        <v>33</v>
      </c>
      <c r="F19" s="54" t="s">
        <v>34</v>
      </c>
      <c r="G19" s="53" t="s">
        <v>35</v>
      </c>
      <c r="H19" s="53" t="s">
        <v>91</v>
      </c>
      <c r="I19" s="54" t="s">
        <v>90</v>
      </c>
      <c r="L19" s="50"/>
      <c r="M19" s="51"/>
      <c r="N19" s="51"/>
      <c r="O19" s="51"/>
      <c r="P19" s="51"/>
      <c r="Q19" s="51"/>
    </row>
    <row r="20" spans="2:17" ht="53.25" customHeight="1" x14ac:dyDescent="0.25">
      <c r="C20" s="55" t="s">
        <v>49</v>
      </c>
      <c r="D20" s="56" t="str">
        <f>"Actual Charge
("&amp;F8&amp;" True-Up)"</f>
        <v>Actual Charge
(2023 True-Up)</v>
      </c>
      <c r="E20" s="57" t="str">
        <f>"Invoiced for
CY"&amp;F8&amp;" Transmission Service"</f>
        <v>Invoiced for
CY2023 Transmission Service</v>
      </c>
      <c r="F20" s="56" t="s">
        <v>96</v>
      </c>
      <c r="G20" s="58" t="s">
        <v>97</v>
      </c>
      <c r="H20" s="58" t="s">
        <v>99</v>
      </c>
      <c r="I20" s="56" t="s">
        <v>98</v>
      </c>
      <c r="L20" s="50"/>
      <c r="M20" s="51"/>
      <c r="N20" s="51"/>
      <c r="O20" s="51"/>
      <c r="P20" s="51"/>
      <c r="Q20" s="51"/>
    </row>
    <row r="21" spans="2:17" x14ac:dyDescent="0.25">
      <c r="B21" s="59"/>
      <c r="C21" s="60" t="s">
        <v>14</v>
      </c>
      <c r="D21" s="61">
        <f>GETPIVOTDATA("Sum of "&amp;T(Transactions!$J$19),Pivot!$A$3,"Customer",C21)</f>
        <v>38317.371561503081</v>
      </c>
      <c r="E21" s="61">
        <f>GETPIVOTDATA("Sum of "&amp;T(Transactions!$K$19),Pivot!$A$3,"Customer",C21)</f>
        <v>61338.106385211096</v>
      </c>
      <c r="F21" s="61">
        <f>D21-E21</f>
        <v>-23020.734823708015</v>
      </c>
      <c r="G21" s="51">
        <f>+GETPIVOTDATA("Sum of "&amp;T(Transactions!$M$19),Pivot!$A$3,"Customer","AECC")</f>
        <v>-1887.2506017879082</v>
      </c>
      <c r="H21" s="51">
        <f>GETPIVOTDATA("Sum of "&amp;T(Transactions!$Q$19),Pivot!$A$3,"Customer","AECC")</f>
        <v>0</v>
      </c>
      <c r="I21" s="62">
        <f>F21+G21-H21</f>
        <v>-24907.985425495925</v>
      </c>
      <c r="J21" s="59"/>
      <c r="L21" s="50"/>
      <c r="M21" s="51"/>
      <c r="N21" s="51"/>
      <c r="O21" s="51"/>
      <c r="P21" s="51"/>
      <c r="Q21" s="51"/>
    </row>
    <row r="22" spans="2:17" x14ac:dyDescent="0.25">
      <c r="B22" s="59"/>
      <c r="C22" s="63" t="s">
        <v>82</v>
      </c>
      <c r="D22" s="61">
        <f>GETPIVOTDATA("Sum of "&amp;T(Transactions!$J$19),Pivot!$A$3,"Customer",C22)</f>
        <v>2105.3500857968729</v>
      </c>
      <c r="E22" s="61">
        <f>GETPIVOTDATA("Sum of "&amp;T(Transactions!$K$19),Pivot!$A$3,"Customer",C22)</f>
        <v>3370.2256255610487</v>
      </c>
      <c r="F22" s="61">
        <f>D22-E22</f>
        <v>-1264.8755397641758</v>
      </c>
      <c r="G22" s="51">
        <f>+GETPIVOTDATA("Sum of "&amp;T(Transactions!$M$19),Pivot!$A$3,"Customer","AECI")</f>
        <v>-103.69508801032464</v>
      </c>
      <c r="H22" s="51">
        <f>GETPIVOTDATA("Sum of "&amp;T(Transactions!$Q$19),Pivot!$A$3,"Customer",C22)</f>
        <v>0</v>
      </c>
      <c r="I22" s="62">
        <f t="shared" ref="I22:I33" si="0">F22+G22-H22</f>
        <v>-1368.5706277745003</v>
      </c>
      <c r="J22" s="59"/>
      <c r="L22" s="50"/>
      <c r="M22" s="51"/>
      <c r="N22" s="51"/>
      <c r="O22" s="51"/>
      <c r="P22" s="51"/>
      <c r="Q22" s="51"/>
    </row>
    <row r="23" spans="2:17" x14ac:dyDescent="0.25">
      <c r="B23" s="59"/>
      <c r="C23" s="63" t="s">
        <v>53</v>
      </c>
      <c r="D23" s="61">
        <f>GETPIVOTDATA("Sum of "&amp;T(Transactions!$J$19),Pivot!$A$3,"Customer",C23)</f>
        <v>6083.4592002930594</v>
      </c>
      <c r="E23" s="61">
        <f>GETPIVOTDATA("Sum of "&amp;T(Transactions!$K$19),Pivot!$A$3,"Customer",C23)</f>
        <v>9738.347188525926</v>
      </c>
      <c r="F23" s="61">
        <f t="shared" ref="F23:F35" si="1">D23-E23</f>
        <v>-3654.8879882328665</v>
      </c>
      <c r="G23" s="51">
        <f>+GETPIVOTDATA("Sum of "&amp;T(Transactions!$M$19),Pivot!$A$3,"Customer","Bentonville, AR")</f>
        <v>-299.62942573649997</v>
      </c>
      <c r="H23" s="51">
        <f>GETPIVOTDATA("Sum of "&amp;T(Transactions!$Q$19),Pivot!$A$3,"Customer",C23)</f>
        <v>0</v>
      </c>
      <c r="I23" s="62">
        <f t="shared" si="0"/>
        <v>-3954.5174139693663</v>
      </c>
      <c r="J23" s="59"/>
      <c r="L23" s="50"/>
      <c r="M23" s="51"/>
      <c r="N23" s="51"/>
      <c r="O23" s="51"/>
      <c r="P23" s="51"/>
      <c r="Q23" s="51"/>
    </row>
    <row r="24" spans="2:17" x14ac:dyDescent="0.25">
      <c r="B24" s="59"/>
      <c r="C24" s="60" t="s">
        <v>17</v>
      </c>
      <c r="D24" s="61">
        <f>GETPIVOTDATA("Sum of "&amp;T(Transactions!$J$19),Pivot!$A$3,"Customer",C24)</f>
        <v>5112.993065506691</v>
      </c>
      <c r="E24" s="61">
        <f>GETPIVOTDATA("Sum of "&amp;T(Transactions!$K$19),Pivot!$A$3,"Customer",C24)</f>
        <v>8184.8336620768341</v>
      </c>
      <c r="F24" s="61">
        <f t="shared" si="1"/>
        <v>-3071.8405965701431</v>
      </c>
      <c r="G24" s="51">
        <f>+GETPIVOTDATA("Sum of "&amp;T(Transactions!$M$19),Pivot!$A$3,"Customer","Coffeyville, KS")</f>
        <v>-251.83092802507412</v>
      </c>
      <c r="H24" s="51">
        <f>GETPIVOTDATA("Sum of "&amp;T(Transactions!$Q$19),Pivot!$A$3,"Customer",C24)</f>
        <v>0</v>
      </c>
      <c r="I24" s="62">
        <f t="shared" si="0"/>
        <v>-3323.6715245952173</v>
      </c>
      <c r="J24" s="59"/>
      <c r="L24" s="50"/>
      <c r="M24" s="51"/>
      <c r="N24" s="51"/>
      <c r="O24" s="51"/>
      <c r="P24" s="51"/>
      <c r="Q24" s="51"/>
    </row>
    <row r="25" spans="2:17" x14ac:dyDescent="0.25">
      <c r="B25" s="59"/>
      <c r="C25" s="63" t="s">
        <v>13</v>
      </c>
      <c r="D25" s="61">
        <f>GETPIVOTDATA("Sum of "&amp;T(Transactions!$J$19),Pivot!$A$3,"Customer",C25)</f>
        <v>41774.155892849565</v>
      </c>
      <c r="E25" s="61">
        <f>GETPIVOTDATA("Sum of "&amp;T(Transactions!$K$19),Pivot!$A$3,"Customer",C25)</f>
        <v>66871.695888513234</v>
      </c>
      <c r="F25" s="61">
        <f t="shared" si="1"/>
        <v>-25097.539995663668</v>
      </c>
      <c r="G25" s="51">
        <f>+GETPIVOTDATA("Sum of "&amp;T(Transactions!$M$19),Pivot!$A$3,"Customer","ETEC")</f>
        <v>-2057.5080605781941</v>
      </c>
      <c r="H25" s="51">
        <f>GETPIVOTDATA("Sum of "&amp;T(Transactions!$Q$19),Pivot!$A$3,"Customer",C25)</f>
        <v>0</v>
      </c>
      <c r="I25" s="62">
        <f t="shared" si="0"/>
        <v>-27155.048056241863</v>
      </c>
      <c r="J25" s="59"/>
      <c r="L25" s="52"/>
      <c r="M25" s="51"/>
      <c r="N25" s="51"/>
      <c r="O25" s="51"/>
      <c r="P25" s="51"/>
      <c r="Q25" s="51"/>
    </row>
    <row r="26" spans="2:17" x14ac:dyDescent="0.25">
      <c r="B26" s="59"/>
      <c r="C26" s="60" t="s">
        <v>15</v>
      </c>
      <c r="D26" s="61">
        <f>GETPIVOTDATA("Sum of "&amp;T(Transactions!$J$19),Pivot!$A$3,"Customer",C26)</f>
        <v>433.10058907821394</v>
      </c>
      <c r="E26" s="61">
        <f>GETPIVOTDATA("Sum of "&amp;T(Transactions!$K$19),Pivot!$A$3,"Customer",C26)</f>
        <v>693.3035572582728</v>
      </c>
      <c r="F26" s="61">
        <f t="shared" si="1"/>
        <v>-260.20296818005886</v>
      </c>
      <c r="G26" s="51">
        <f>+GETPIVOTDATA("Sum of "&amp;T(Transactions!$M$19),Pivot!$A$3,"Customer","Greenbelt")</f>
        <v>-21.33156096212393</v>
      </c>
      <c r="H26" s="51">
        <f>GETPIVOTDATA("Sum of "&amp;T(Transactions!$Q$19),Pivot!$A$3,"Customer",C26)</f>
        <v>0</v>
      </c>
      <c r="I26" s="62">
        <f t="shared" si="0"/>
        <v>-281.53452914218281</v>
      </c>
      <c r="J26" s="59"/>
      <c r="K26" s="64"/>
      <c r="L26" s="64"/>
      <c r="M26" s="64"/>
      <c r="N26" s="64"/>
      <c r="O26" s="51"/>
      <c r="P26" s="51"/>
      <c r="Q26" s="51"/>
    </row>
    <row r="27" spans="2:17" x14ac:dyDescent="0.25">
      <c r="B27" s="59"/>
      <c r="C27" s="60" t="s">
        <v>56</v>
      </c>
      <c r="D27" s="61">
        <f>GETPIVOTDATA("Sum of "&amp;T(Transactions!$J$19),Pivot!$A$3,"Customer",C27)</f>
        <v>1828.6469316635698</v>
      </c>
      <c r="E27" s="61">
        <f>GETPIVOTDATA("Sum of "&amp;T(Transactions!$K$19),Pivot!$A$3,"Customer",C27)</f>
        <v>2927.281686201597</v>
      </c>
      <c r="F27" s="61">
        <f t="shared" si="1"/>
        <v>-1098.6347545380272</v>
      </c>
      <c r="G27" s="51">
        <f>+GETPIVOTDATA("Sum of "&amp;T(Transactions!$M$19),Pivot!$A$3,"Customer","Hope, AR")</f>
        <v>-90.066590728967682</v>
      </c>
      <c r="H27" s="51">
        <f>GETPIVOTDATA("Sum of "&amp;T(Transactions!$Q$19),Pivot!$A$3,"Customer",C27)</f>
        <v>0</v>
      </c>
      <c r="I27" s="62">
        <f t="shared" si="0"/>
        <v>-1188.7013452669948</v>
      </c>
      <c r="J27" s="59"/>
      <c r="K27" s="64"/>
      <c r="L27" s="64"/>
      <c r="M27" s="64"/>
      <c r="N27" s="64"/>
      <c r="O27" s="51"/>
      <c r="P27" s="51"/>
      <c r="Q27" s="51"/>
    </row>
    <row r="28" spans="2:17" x14ac:dyDescent="0.25">
      <c r="B28" s="59"/>
      <c r="C28" s="60" t="s">
        <v>16</v>
      </c>
      <c r="D28" s="61">
        <f>GETPIVOTDATA("Sum of "&amp;T(Transactions!$J$19),Pivot!$A$3,"Customer",C28)</f>
        <v>224.57067581833311</v>
      </c>
      <c r="E28" s="61">
        <f>GETPIVOTDATA("Sum of "&amp;T(Transactions!$K$19),Pivot!$A$3,"Customer",C28)</f>
        <v>359.49073339317852</v>
      </c>
      <c r="F28" s="61">
        <f t="shared" si="1"/>
        <v>-134.9200575748454</v>
      </c>
      <c r="G28" s="51">
        <f>+GETPIVOTDATA("Sum of "&amp;T(Transactions!$M$19),Pivot!$A$3,"Customer","Lighthouse")</f>
        <v>-11.060809387767959</v>
      </c>
      <c r="H28" s="51">
        <f>GETPIVOTDATA("Sum of "&amp;T(Transactions!$Q$19),Pivot!$A$3,"Customer",C28)</f>
        <v>0</v>
      </c>
      <c r="I28" s="62">
        <f t="shared" si="0"/>
        <v>-145.98086696261336</v>
      </c>
      <c r="J28" s="59"/>
      <c r="L28" s="50"/>
      <c r="M28" s="51"/>
      <c r="N28" s="51"/>
      <c r="O28" s="51"/>
      <c r="P28" s="51"/>
      <c r="Q28" s="51"/>
    </row>
    <row r="29" spans="2:17" x14ac:dyDescent="0.25">
      <c r="B29" s="59"/>
      <c r="C29" s="63" t="s">
        <v>55</v>
      </c>
      <c r="D29" s="61">
        <f>GETPIVOTDATA("Sum of "&amp;T(Transactions!$J$19),Pivot!$A$3,"Customer",C29)</f>
        <v>1327.373101711933</v>
      </c>
      <c r="E29" s="61">
        <f>GETPIVOTDATA("Sum of "&amp;T(Transactions!$K$19),Pivot!$A$3,"Customer",C29)</f>
        <v>2124.8470134489662</v>
      </c>
      <c r="F29" s="61">
        <f t="shared" si="1"/>
        <v>-797.47391173703318</v>
      </c>
      <c r="G29" s="51">
        <f>+GETPIVOTDATA("Sum of "&amp;T(Transactions!$M$19),Pivot!$A$3,"Customer","Minden, LA")</f>
        <v>-65.377284059842765</v>
      </c>
      <c r="H29" s="51">
        <f>GETPIVOTDATA("Sum of "&amp;T(Transactions!$Q$19),Pivot!$A$3,"Customer",C29)</f>
        <v>0</v>
      </c>
      <c r="I29" s="62">
        <f t="shared" si="0"/>
        <v>-862.85119579687591</v>
      </c>
      <c r="J29" s="59"/>
      <c r="L29" s="50"/>
      <c r="M29" s="51"/>
      <c r="N29" s="51"/>
      <c r="O29" s="51"/>
      <c r="P29" s="51"/>
      <c r="Q29" s="51"/>
    </row>
    <row r="30" spans="2:17" x14ac:dyDescent="0.25">
      <c r="B30" s="59"/>
      <c r="C30" s="63" t="s">
        <v>19</v>
      </c>
      <c r="D30" s="61">
        <f>GETPIVOTDATA("Sum of "&amp;T(Transactions!$J$19),Pivot!$A$3,"Customer",C30)</f>
        <v>2967.5410733136878</v>
      </c>
      <c r="E30" s="61">
        <f>GETPIVOTDATA("Sum of "&amp;T(Transactions!$K$19),Pivot!$A$3,"Customer",C30)</f>
        <v>4750.4132626955734</v>
      </c>
      <c r="F30" s="61">
        <f t="shared" si="1"/>
        <v>-1782.8721893818856</v>
      </c>
      <c r="G30" s="51">
        <f>+GETPIVOTDATA("Sum of "&amp;T(Transactions!$M$19),Pivot!$A$3,"Customer","OG&amp;E")</f>
        <v>-146.16069548121948</v>
      </c>
      <c r="H30" s="51">
        <f>GETPIVOTDATA("Sum of "&amp;T(Transactions!$Q$19),Pivot!$A$3,"Customer",C30)</f>
        <v>0</v>
      </c>
      <c r="I30" s="62">
        <f t="shared" si="0"/>
        <v>-1929.0328848631052</v>
      </c>
      <c r="J30" s="59"/>
    </row>
    <row r="31" spans="2:17" x14ac:dyDescent="0.25">
      <c r="B31" s="59"/>
      <c r="C31" s="60" t="s">
        <v>8</v>
      </c>
      <c r="D31" s="61">
        <f>GETPIVOTDATA("Sum of "&amp;T(Transactions!$J$19),Pivot!$A$3,"Customer",C31)</f>
        <v>5088.9319216690128</v>
      </c>
      <c r="E31" s="61">
        <f>GETPIVOTDATA("Sum of "&amp;T(Transactions!$K$19),Pivot!$A$3,"Customer",C31)</f>
        <v>8146.3167977847061</v>
      </c>
      <c r="F31" s="61">
        <f t="shared" si="1"/>
        <v>-3057.3848761156933</v>
      </c>
      <c r="G31" s="51">
        <f>+GETPIVOTDATA("Sum of "&amp;T(Transactions!$M$19),Pivot!$A$3,"Customer","OMPA")</f>
        <v>-250.64584130495615</v>
      </c>
      <c r="H31" s="51">
        <f>GETPIVOTDATA("Sum of "&amp;T(Transactions!$Q$19),Pivot!$A$3,"Customer",C31)</f>
        <v>0</v>
      </c>
      <c r="I31" s="62">
        <f t="shared" si="0"/>
        <v>-3308.0307174206496</v>
      </c>
      <c r="J31" s="59"/>
    </row>
    <row r="32" spans="2:17" x14ac:dyDescent="0.25">
      <c r="B32" s="59"/>
      <c r="C32" s="60" t="s">
        <v>54</v>
      </c>
      <c r="D32" s="61">
        <f>GETPIVOTDATA("Sum of "&amp;T(Transactions!$J$19),Pivot!$A$3,"Customer",C32)</f>
        <v>485.233067393184</v>
      </c>
      <c r="E32" s="61">
        <f>GETPIVOTDATA("Sum of "&amp;T(Transactions!$K$19),Pivot!$A$3,"Customer",C32)</f>
        <v>776.75676322454649</v>
      </c>
      <c r="F32" s="61">
        <f t="shared" si="1"/>
        <v>-291.52369583136249</v>
      </c>
      <c r="G32" s="51">
        <f>+GETPIVOTDATA("Sum of "&amp;T(Transactions!$M$19),Pivot!$A$3,"Customer","Prescott, AR")</f>
        <v>-23.899248855712916</v>
      </c>
      <c r="H32" s="51">
        <f>GETPIVOTDATA("Sum of "&amp;T(Transactions!$Q$19),Pivot!$A$3,"Customer",C32)</f>
        <v>0</v>
      </c>
      <c r="I32" s="62">
        <f t="shared" si="0"/>
        <v>-315.42294468707541</v>
      </c>
      <c r="J32" s="59"/>
    </row>
    <row r="33" spans="2:11" x14ac:dyDescent="0.25">
      <c r="B33" s="59"/>
      <c r="C33" s="65" t="s">
        <v>9</v>
      </c>
      <c r="D33" s="61">
        <f>GETPIVOTDATA("Sum of "&amp;T(Transactions!$J$19),Pivot!$A$3,"Customer",C33)</f>
        <v>2470.277434001664</v>
      </c>
      <c r="E33" s="61">
        <f>GETPIVOTDATA("Sum of "&amp;T(Transactions!$K$19),Pivot!$A$3,"Customer",C33)</f>
        <v>3954.3980673249644</v>
      </c>
      <c r="F33" s="61">
        <f t="shared" si="1"/>
        <v>-1484.1206333233004</v>
      </c>
      <c r="G33" s="51">
        <f>+GETPIVOTDATA("Sum of "&amp;T(Transactions!$M$19),Pivot!$A$3,"Customer","WFEC")</f>
        <v>-121.66890326544757</v>
      </c>
      <c r="H33" s="51">
        <f>GETPIVOTDATA("Sum of "&amp;T(Transactions!$Q$19),Pivot!$A$3,"Customer",C33)</f>
        <v>0</v>
      </c>
      <c r="I33" s="62">
        <f t="shared" si="0"/>
        <v>-1605.789536588748</v>
      </c>
      <c r="J33" s="59"/>
    </row>
    <row r="34" spans="2:11" ht="23" x14ac:dyDescent="0.25">
      <c r="C34" s="66" t="s">
        <v>42</v>
      </c>
      <c r="D34" s="67">
        <f t="shared" ref="D34:I34" si="2">SUM(D21:D33)</f>
        <v>108219.00460059884</v>
      </c>
      <c r="E34" s="67">
        <f t="shared" si="2"/>
        <v>173236.01663121997</v>
      </c>
      <c r="F34" s="67">
        <f t="shared" si="2"/>
        <v>-65017.012030621067</v>
      </c>
      <c r="G34" s="68">
        <f t="shared" si="2"/>
        <v>-5330.12503818404</v>
      </c>
      <c r="H34" s="68">
        <f t="shared" si="2"/>
        <v>0</v>
      </c>
      <c r="I34" s="69">
        <f t="shared" si="2"/>
        <v>-70347.13706880511</v>
      </c>
    </row>
    <row r="35" spans="2:11" x14ac:dyDescent="0.25">
      <c r="C35" s="70" t="s">
        <v>21</v>
      </c>
      <c r="D35" s="61">
        <f>GETPIVOTDATA("Sum of "&amp;T(Transactions!$J$19),Pivot!$A$3,"Customer",C35)</f>
        <v>152603.79459983658</v>
      </c>
      <c r="E35" s="61">
        <f>GETPIVOTDATA("Sum of "&amp;T(Transactions!$K$19),Pivot!$A$3,"Customer",C35)</f>
        <v>244286.79229542887</v>
      </c>
      <c r="F35" s="61">
        <f t="shared" si="1"/>
        <v>-91682.99769559229</v>
      </c>
      <c r="G35" s="51">
        <f>+GETPIVOTDATA("Sum of "&amp;T(Transactions!$M$19),Pivot!$A$3,"Customer","PSO")</f>
        <v>-7516.2150078950363</v>
      </c>
      <c r="H35" s="51">
        <f>GETPIVOTDATA("Sum of "&amp;T(Transactions!$Q$19),Pivot!$A$3,"Customer",C35)</f>
        <v>0</v>
      </c>
      <c r="I35" s="62">
        <f>F35+G35-H35</f>
        <v>-99199.212703487327</v>
      </c>
    </row>
    <row r="36" spans="2:11" x14ac:dyDescent="0.25">
      <c r="C36" s="71" t="s">
        <v>22</v>
      </c>
      <c r="D36" s="61">
        <f>GETPIVOTDATA("Sum of "&amp;T(Transactions!$J$19),Pivot!$A$3,"Customer",C36)</f>
        <v>142421.92056585895</v>
      </c>
      <c r="E36" s="61">
        <f>GETPIVOTDATA("Sum of "&amp;T(Transactions!$K$19),Pivot!$A$3,"Customer",C36)</f>
        <v>227987.73922247742</v>
      </c>
      <c r="F36" s="61">
        <f>D36-E36</f>
        <v>-85565.818656618474</v>
      </c>
      <c r="G36" s="51">
        <f>+GETPIVOTDATA("Sum of "&amp;T(Transactions!$M$19),Pivot!$A$3,"Customer","SWEPCO")</f>
        <v>-7014.7258108317692</v>
      </c>
      <c r="H36" s="51">
        <f>GETPIVOTDATA("Sum of "&amp;T(Transactions!$Q$19),Pivot!$A$3,"Customer",C36)</f>
        <v>0</v>
      </c>
      <c r="I36" s="62">
        <f>F36+G36-H36</f>
        <v>-92580.544467450236</v>
      </c>
    </row>
    <row r="37" spans="2:11" x14ac:dyDescent="0.25">
      <c r="C37" s="72" t="s">
        <v>80</v>
      </c>
      <c r="D37" s="61">
        <f>GETPIVOTDATA("Sum of "&amp;T(Transactions!$J$19),Pivot!$A$3,"Customer",C37)</f>
        <v>6508.5394080920469</v>
      </c>
      <c r="E37" s="61">
        <f>GETPIVOTDATA("Sum of "&amp;T(Transactions!$K$19),Pivot!$A$3,"Customer",C37)</f>
        <v>10418.811791020156</v>
      </c>
      <c r="F37" s="61">
        <f>D37-E37</f>
        <v>-3910.2723829281094</v>
      </c>
      <c r="G37" s="51">
        <f>+GETPIVOTDATA("Sum of "&amp;T(Transactions!$M$19),Pivot!$A$3,"Customer","SWEPCO-Valley")</f>
        <v>-320.56595779191787</v>
      </c>
      <c r="H37" s="51">
        <f>GETPIVOTDATA("Sum of "&amp;T(Transactions!$Q$19),Pivot!$A$3,"Customer",C37)</f>
        <v>0</v>
      </c>
      <c r="I37" s="62">
        <f>F37+G37-H37</f>
        <v>-4230.8383407200272</v>
      </c>
    </row>
    <row r="38" spans="2:11" ht="23" x14ac:dyDescent="0.25">
      <c r="C38" s="73" t="s">
        <v>50</v>
      </c>
      <c r="D38" s="74">
        <f t="shared" ref="D38:I38" si="3">SUM(D35:D37)</f>
        <v>301534.25457378756</v>
      </c>
      <c r="E38" s="74">
        <f t="shared" si="3"/>
        <v>482693.34330892644</v>
      </c>
      <c r="F38" s="74">
        <f t="shared" si="3"/>
        <v>-181159.08873513888</v>
      </c>
      <c r="G38" s="75">
        <f t="shared" si="3"/>
        <v>-14851.506776518723</v>
      </c>
      <c r="H38" s="75">
        <f t="shared" si="3"/>
        <v>0</v>
      </c>
      <c r="I38" s="76">
        <f t="shared" si="3"/>
        <v>-196010.59551165756</v>
      </c>
      <c r="K38" s="77"/>
    </row>
    <row r="39" spans="2:11" ht="23.25" customHeight="1" thickBot="1" x14ac:dyDescent="0.3">
      <c r="C39" s="78" t="s">
        <v>43</v>
      </c>
      <c r="D39" s="79">
        <f t="shared" ref="D39:I39" si="4">SUM(D34,D38)</f>
        <v>409753.25917438639</v>
      </c>
      <c r="E39" s="80">
        <f t="shared" si="4"/>
        <v>655929.35994014645</v>
      </c>
      <c r="F39" s="79">
        <f t="shared" si="4"/>
        <v>-246176.10076575994</v>
      </c>
      <c r="G39" s="80">
        <f t="shared" si="4"/>
        <v>-20181.631814702763</v>
      </c>
      <c r="H39" s="80">
        <f t="shared" si="4"/>
        <v>0</v>
      </c>
      <c r="I39" s="81">
        <f t="shared" si="4"/>
        <v>-266357.7325804627</v>
      </c>
      <c r="K39" s="77"/>
    </row>
    <row r="40" spans="2:11" x14ac:dyDescent="0.25">
      <c r="E40" s="50"/>
      <c r="F40" s="50"/>
      <c r="G40" s="50"/>
      <c r="H40" s="50"/>
    </row>
    <row r="41" spans="2:11" x14ac:dyDescent="0.25">
      <c r="D41" s="59"/>
      <c r="E41" s="59"/>
      <c r="F41" s="59"/>
      <c r="G41" s="59"/>
      <c r="I41" s="59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7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3"/>
  <sheetViews>
    <sheetView zoomScale="85" workbookViewId="0">
      <pane xSplit="2" ySplit="4" topLeftCell="F104" activePane="bottomRight" state="frozen"/>
      <selection pane="topRight" activeCell="C1" sqref="C1"/>
      <selection pane="bottomLeft" activeCell="A5" sqref="A5"/>
      <selection pane="bottomRight" activeCell="I111" sqref="I111"/>
    </sheetView>
  </sheetViews>
  <sheetFormatPr defaultColWidth="8.7265625" defaultRowHeight="12.5" x14ac:dyDescent="0.25"/>
  <cols>
    <col min="1" max="1" width="19.1796875" style="1" customWidth="1"/>
    <col min="2" max="2" width="27.81640625" style="1" bestFit="1" customWidth="1"/>
    <col min="3" max="14" width="14.81640625" style="1" bestFit="1" customWidth="1"/>
    <col min="15" max="15" width="10.36328125" style="1" bestFit="1" customWidth="1"/>
    <col min="16" max="16384" width="8.7265625" style="1"/>
  </cols>
  <sheetData>
    <row r="3" spans="1:15" x14ac:dyDescent="0.25">
      <c r="A3" s="83"/>
      <c r="B3" s="84"/>
      <c r="C3" s="85" t="s">
        <v>52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6"/>
    </row>
    <row r="4" spans="1:15" x14ac:dyDescent="0.25">
      <c r="A4" s="85" t="s">
        <v>0</v>
      </c>
      <c r="B4" s="85" t="s">
        <v>24</v>
      </c>
      <c r="C4" s="87">
        <v>44927</v>
      </c>
      <c r="D4" s="88">
        <v>44958</v>
      </c>
      <c r="E4" s="88">
        <v>44986</v>
      </c>
      <c r="F4" s="88">
        <v>45017</v>
      </c>
      <c r="G4" s="88">
        <v>45047</v>
      </c>
      <c r="H4" s="88">
        <v>45078</v>
      </c>
      <c r="I4" s="88">
        <v>45108</v>
      </c>
      <c r="J4" s="88">
        <v>45139</v>
      </c>
      <c r="K4" s="88">
        <v>45170</v>
      </c>
      <c r="L4" s="88">
        <v>45200</v>
      </c>
      <c r="M4" s="88">
        <v>45231</v>
      </c>
      <c r="N4" s="88">
        <v>45261</v>
      </c>
      <c r="O4" s="89" t="s">
        <v>18</v>
      </c>
    </row>
    <row r="5" spans="1:15" x14ac:dyDescent="0.25">
      <c r="A5" s="83" t="s">
        <v>14</v>
      </c>
      <c r="B5" s="83" t="s">
        <v>69</v>
      </c>
      <c r="C5" s="90">
        <v>3320.4378495996393</v>
      </c>
      <c r="D5" s="91">
        <v>3152.0098427358894</v>
      </c>
      <c r="E5" s="91">
        <v>2815.1538290083899</v>
      </c>
      <c r="F5" s="91">
        <v>2081.2889419591943</v>
      </c>
      <c r="G5" s="91">
        <v>2887.3372605214254</v>
      </c>
      <c r="H5" s="91">
        <v>3909.9358736227637</v>
      </c>
      <c r="I5" s="91">
        <v>3705.416151002496</v>
      </c>
      <c r="J5" s="91">
        <v>4222.7307435125849</v>
      </c>
      <c r="K5" s="91">
        <v>3629.2225288498475</v>
      </c>
      <c r="L5" s="91">
        <v>2783.0723038914853</v>
      </c>
      <c r="M5" s="91">
        <v>2951.5003107552352</v>
      </c>
      <c r="N5" s="91">
        <v>2859.2659260441337</v>
      </c>
      <c r="O5" s="92">
        <v>38317.371561503081</v>
      </c>
    </row>
    <row r="6" spans="1:15" ht="13" x14ac:dyDescent="0.3">
      <c r="A6" s="215"/>
      <c r="B6" s="93" t="s">
        <v>25</v>
      </c>
      <c r="C6" s="229">
        <v>-1994.8894227137866</v>
      </c>
      <c r="D6" s="230">
        <v>-1893.6993795326521</v>
      </c>
      <c r="E6" s="230">
        <v>-1691.3192931703843</v>
      </c>
      <c r="F6" s="230">
        <v>-1250.4198193097282</v>
      </c>
      <c r="G6" s="230">
        <v>-1734.6864545337276</v>
      </c>
      <c r="H6" s="230">
        <v>-2349.0545738477554</v>
      </c>
      <c r="I6" s="230">
        <v>-2226.1809499849505</v>
      </c>
      <c r="J6" s="230">
        <v>-2536.978939755576</v>
      </c>
      <c r="K6" s="230">
        <v>-2180.4045018791985</v>
      </c>
      <c r="L6" s="230">
        <v>-1672.0449992311201</v>
      </c>
      <c r="M6" s="230">
        <v>-1773.2350424122546</v>
      </c>
      <c r="N6" s="230">
        <v>-1717.8214473368721</v>
      </c>
      <c r="O6" s="231">
        <v>-23020.734823708008</v>
      </c>
    </row>
    <row r="7" spans="1:15" ht="13" x14ac:dyDescent="0.3">
      <c r="A7" s="215"/>
      <c r="B7" s="93" t="s">
        <v>26</v>
      </c>
      <c r="C7" s="229">
        <v>-163.54196737628342</v>
      </c>
      <c r="D7" s="230">
        <v>-155.24636033545744</v>
      </c>
      <c r="E7" s="230">
        <v>-138.65514625380553</v>
      </c>
      <c r="F7" s="230">
        <v>-102.51000129020663</v>
      </c>
      <c r="G7" s="230">
        <v>-142.21040641415951</v>
      </c>
      <c r="H7" s="230">
        <v>-192.57659201917434</v>
      </c>
      <c r="I7" s="230">
        <v>-182.50335489817135</v>
      </c>
      <c r="J7" s="230">
        <v>-207.98271938070829</v>
      </c>
      <c r="K7" s="230">
        <v>-178.75058028446438</v>
      </c>
      <c r="L7" s="230">
        <v>-137.07503062698152</v>
      </c>
      <c r="M7" s="230">
        <v>-145.3706376678075</v>
      </c>
      <c r="N7" s="230">
        <v>-140.82780524068852</v>
      </c>
      <c r="O7" s="231">
        <v>-1887.2506017879082</v>
      </c>
    </row>
    <row r="8" spans="1:15" ht="13" x14ac:dyDescent="0.3">
      <c r="A8" s="215"/>
      <c r="B8" s="93" t="s">
        <v>27</v>
      </c>
      <c r="C8" s="229">
        <v>-2158.4313900900702</v>
      </c>
      <c r="D8" s="230">
        <v>-2048.9457398681097</v>
      </c>
      <c r="E8" s="230">
        <v>-1829.9744394241898</v>
      </c>
      <c r="F8" s="230">
        <v>-1352.9298205999348</v>
      </c>
      <c r="G8" s="230">
        <v>-1876.896860947887</v>
      </c>
      <c r="H8" s="230">
        <v>-2541.6311658669297</v>
      </c>
      <c r="I8" s="230">
        <v>-2408.684304883122</v>
      </c>
      <c r="J8" s="230">
        <v>-2744.9616591362842</v>
      </c>
      <c r="K8" s="230">
        <v>-2359.1550821636629</v>
      </c>
      <c r="L8" s="230">
        <v>-1809.1200298581016</v>
      </c>
      <c r="M8" s="230">
        <v>-1918.605680080062</v>
      </c>
      <c r="N8" s="230">
        <v>-1858.6492525775607</v>
      </c>
      <c r="O8" s="231">
        <v>-24907.985425495914</v>
      </c>
    </row>
    <row r="9" spans="1:15" x14ac:dyDescent="0.25">
      <c r="A9" s="215"/>
      <c r="B9" s="93" t="s">
        <v>48</v>
      </c>
      <c r="C9" s="94">
        <v>5315.327272313426</v>
      </c>
      <c r="D9" s="82">
        <v>5045.7092222685415</v>
      </c>
      <c r="E9" s="82">
        <v>4506.4731221787742</v>
      </c>
      <c r="F9" s="82">
        <v>3331.7087612689224</v>
      </c>
      <c r="G9" s="82">
        <v>4622.0237150551529</v>
      </c>
      <c r="H9" s="82">
        <v>6258.990447470519</v>
      </c>
      <c r="I9" s="82">
        <v>5931.5971009874465</v>
      </c>
      <c r="J9" s="82">
        <v>6759.7096832681609</v>
      </c>
      <c r="K9" s="82">
        <v>5809.6270307290461</v>
      </c>
      <c r="L9" s="82">
        <v>4455.1173031226053</v>
      </c>
      <c r="M9" s="82">
        <v>4724.7353531674898</v>
      </c>
      <c r="N9" s="82">
        <v>4577.0873733810058</v>
      </c>
      <c r="O9" s="95">
        <v>61338.106385211096</v>
      </c>
    </row>
    <row r="10" spans="1:15" x14ac:dyDescent="0.25">
      <c r="A10" s="215"/>
      <c r="B10" s="93" t="s">
        <v>86</v>
      </c>
      <c r="C10" s="94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95">
        <v>0</v>
      </c>
    </row>
    <row r="11" spans="1:15" x14ac:dyDescent="0.25">
      <c r="A11" s="215"/>
      <c r="B11" s="93" t="s">
        <v>88</v>
      </c>
      <c r="C11" s="94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95">
        <v>0</v>
      </c>
    </row>
    <row r="12" spans="1:15" x14ac:dyDescent="0.25">
      <c r="A12" s="83" t="s">
        <v>17</v>
      </c>
      <c r="B12" s="83" t="s">
        <v>69</v>
      </c>
      <c r="C12" s="90">
        <v>417.05982651976149</v>
      </c>
      <c r="D12" s="91">
        <v>429.09039843860074</v>
      </c>
      <c r="E12" s="91">
        <v>413.0496358801484</v>
      </c>
      <c r="F12" s="91">
        <v>392.99868268208292</v>
      </c>
      <c r="G12" s="91">
        <v>421.07001715937457</v>
      </c>
      <c r="H12" s="91">
        <v>461.17192355550549</v>
      </c>
      <c r="I12" s="91">
        <v>441.12097035744</v>
      </c>
      <c r="J12" s="91">
        <v>437.11077971782692</v>
      </c>
      <c r="K12" s="91">
        <v>449.14135163666617</v>
      </c>
      <c r="L12" s="91">
        <v>429.09039843860074</v>
      </c>
      <c r="M12" s="91">
        <v>417.05982651976149</v>
      </c>
      <c r="N12" s="91">
        <v>405.02925460092217</v>
      </c>
      <c r="O12" s="92">
        <v>5112.993065506691</v>
      </c>
    </row>
    <row r="13" spans="1:15" ht="13" x14ac:dyDescent="0.3">
      <c r="A13" s="215"/>
      <c r="B13" s="93" t="s">
        <v>25</v>
      </c>
      <c r="C13" s="229">
        <v>-250.5658212104272</v>
      </c>
      <c r="D13" s="230">
        <v>-257.79368143765117</v>
      </c>
      <c r="E13" s="230">
        <v>-248.15653446801929</v>
      </c>
      <c r="F13" s="230">
        <v>-236.11010075597954</v>
      </c>
      <c r="G13" s="230">
        <v>-252.97510795283523</v>
      </c>
      <c r="H13" s="230">
        <v>-277.06797537691477</v>
      </c>
      <c r="I13" s="230">
        <v>-265.02154166487503</v>
      </c>
      <c r="J13" s="230">
        <v>-262.612254922467</v>
      </c>
      <c r="K13" s="230">
        <v>-269.84011514969097</v>
      </c>
      <c r="L13" s="230">
        <v>-257.79368143765117</v>
      </c>
      <c r="M13" s="230">
        <v>-250.5658212104272</v>
      </c>
      <c r="N13" s="230">
        <v>-243.3379609832034</v>
      </c>
      <c r="O13" s="231">
        <v>-3071.8405965701422</v>
      </c>
    </row>
    <row r="14" spans="1:15" ht="13" x14ac:dyDescent="0.3">
      <c r="A14" s="215"/>
      <c r="B14" s="93" t="s">
        <v>26</v>
      </c>
      <c r="C14" s="229">
        <v>-20.541503148711925</v>
      </c>
      <c r="D14" s="230">
        <v>-21.134046508770925</v>
      </c>
      <c r="E14" s="230">
        <v>-20.343988695358927</v>
      </c>
      <c r="F14" s="230">
        <v>-19.356416428593931</v>
      </c>
      <c r="G14" s="230">
        <v>-20.739017602064926</v>
      </c>
      <c r="H14" s="230">
        <v>-22.714162135594918</v>
      </c>
      <c r="I14" s="230">
        <v>-21.726589868829926</v>
      </c>
      <c r="J14" s="230">
        <v>-21.529075415476925</v>
      </c>
      <c r="K14" s="230">
        <v>-22.121618775535921</v>
      </c>
      <c r="L14" s="230">
        <v>-21.134046508770925</v>
      </c>
      <c r="M14" s="230">
        <v>-20.541503148711925</v>
      </c>
      <c r="N14" s="230">
        <v>-19.948959788652932</v>
      </c>
      <c r="O14" s="231">
        <v>-251.83092802507412</v>
      </c>
    </row>
    <row r="15" spans="1:15" ht="13" x14ac:dyDescent="0.3">
      <c r="A15" s="215"/>
      <c r="B15" s="93" t="s">
        <v>27</v>
      </c>
      <c r="C15" s="229">
        <v>-271.10732435913911</v>
      </c>
      <c r="D15" s="230">
        <v>-278.92772794642212</v>
      </c>
      <c r="E15" s="230">
        <v>-268.5005231633782</v>
      </c>
      <c r="F15" s="230">
        <v>-255.46651718457349</v>
      </c>
      <c r="G15" s="230">
        <v>-273.71412555490014</v>
      </c>
      <c r="H15" s="230">
        <v>-299.78213751250968</v>
      </c>
      <c r="I15" s="230">
        <v>-286.74813153370496</v>
      </c>
      <c r="J15" s="230">
        <v>-284.14133033794394</v>
      </c>
      <c r="K15" s="230">
        <v>-291.96173392522689</v>
      </c>
      <c r="L15" s="230">
        <v>-278.92772794642212</v>
      </c>
      <c r="M15" s="230">
        <v>-271.10732435913911</v>
      </c>
      <c r="N15" s="230">
        <v>-263.28692077185633</v>
      </c>
      <c r="O15" s="231">
        <v>-3323.6715245952164</v>
      </c>
    </row>
    <row r="16" spans="1:15" x14ac:dyDescent="0.25">
      <c r="A16" s="215"/>
      <c r="B16" s="93" t="s">
        <v>48</v>
      </c>
      <c r="C16" s="94">
        <v>667.62564773018869</v>
      </c>
      <c r="D16" s="82">
        <v>686.88407987625192</v>
      </c>
      <c r="E16" s="82">
        <v>661.20617034816769</v>
      </c>
      <c r="F16" s="82">
        <v>629.10878343806246</v>
      </c>
      <c r="G16" s="82">
        <v>674.0451251122098</v>
      </c>
      <c r="H16" s="82">
        <v>738.23989893242026</v>
      </c>
      <c r="I16" s="82">
        <v>706.14251202231503</v>
      </c>
      <c r="J16" s="82">
        <v>699.72303464029392</v>
      </c>
      <c r="K16" s="82">
        <v>718.98146678635715</v>
      </c>
      <c r="L16" s="82">
        <v>686.88407987625192</v>
      </c>
      <c r="M16" s="82">
        <v>667.62564773018869</v>
      </c>
      <c r="N16" s="82">
        <v>648.36721558412557</v>
      </c>
      <c r="O16" s="95">
        <v>8184.8336620768341</v>
      </c>
    </row>
    <row r="17" spans="1:15" x14ac:dyDescent="0.25">
      <c r="A17" s="215"/>
      <c r="B17" s="93" t="s">
        <v>86</v>
      </c>
      <c r="C17" s="94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95">
        <v>0</v>
      </c>
    </row>
    <row r="18" spans="1:15" x14ac:dyDescent="0.25">
      <c r="A18" s="215"/>
      <c r="B18" s="93" t="s">
        <v>88</v>
      </c>
      <c r="C18" s="94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95">
        <v>0</v>
      </c>
    </row>
    <row r="19" spans="1:15" x14ac:dyDescent="0.25">
      <c r="A19" s="83" t="s">
        <v>13</v>
      </c>
      <c r="B19" s="83" t="s">
        <v>69</v>
      </c>
      <c r="C19" s="90">
        <v>3877.854348505859</v>
      </c>
      <c r="D19" s="91">
        <v>3829.7320608305022</v>
      </c>
      <c r="E19" s="91">
        <v>3496.8862377426153</v>
      </c>
      <c r="F19" s="91">
        <v>2414.1347650470807</v>
      </c>
      <c r="G19" s="91">
        <v>2851.2455447649077</v>
      </c>
      <c r="H19" s="91">
        <v>3753.5384386778533</v>
      </c>
      <c r="I19" s="91">
        <v>3737.4976761194007</v>
      </c>
      <c r="J19" s="91">
        <v>4110.4454056034183</v>
      </c>
      <c r="K19" s="91">
        <v>3745.5180573986272</v>
      </c>
      <c r="L19" s="91">
        <v>2807.1334477291639</v>
      </c>
      <c r="M19" s="91">
        <v>3476.8352845445502</v>
      </c>
      <c r="N19" s="91">
        <v>3673.3346258855913</v>
      </c>
      <c r="O19" s="92">
        <v>41774.155892849565</v>
      </c>
    </row>
    <row r="20" spans="1:15" ht="13" x14ac:dyDescent="0.3">
      <c r="A20" s="215"/>
      <c r="B20" s="93" t="s">
        <v>25</v>
      </c>
      <c r="C20" s="229">
        <v>-2329.780279908492</v>
      </c>
      <c r="D20" s="230">
        <v>-2300.8688389995964</v>
      </c>
      <c r="E20" s="230">
        <v>-2100.898039379736</v>
      </c>
      <c r="F20" s="230">
        <v>-1450.3906189295885</v>
      </c>
      <c r="G20" s="230">
        <v>-1713.0028738520555</v>
      </c>
      <c r="H20" s="230">
        <v>-2255.0923908938457</v>
      </c>
      <c r="I20" s="230">
        <v>-2245.4552439242138</v>
      </c>
      <c r="J20" s="230">
        <v>-2469.5189109681532</v>
      </c>
      <c r="K20" s="230">
        <v>-2250.2738174090291</v>
      </c>
      <c r="L20" s="230">
        <v>-1686.5007196855677</v>
      </c>
      <c r="M20" s="230">
        <v>-2088.8516056676967</v>
      </c>
      <c r="N20" s="230">
        <v>-2206.9066560456863</v>
      </c>
      <c r="O20" s="231">
        <v>-25097.539995663661</v>
      </c>
    </row>
    <row r="21" spans="1:15" ht="13" x14ac:dyDescent="0.3">
      <c r="A21" s="215"/>
      <c r="B21" s="93" t="s">
        <v>26</v>
      </c>
      <c r="C21" s="229">
        <v>-190.99647639235033</v>
      </c>
      <c r="D21" s="230">
        <v>-188.62630295211434</v>
      </c>
      <c r="E21" s="230">
        <v>-172.2326033238154</v>
      </c>
      <c r="F21" s="230">
        <v>-118.90370091850558</v>
      </c>
      <c r="G21" s="230">
        <v>-140.4327763339825</v>
      </c>
      <c r="H21" s="230">
        <v>-184.87352833840737</v>
      </c>
      <c r="I21" s="230">
        <v>-184.08347052499536</v>
      </c>
      <c r="J21" s="230">
        <v>-202.45231468682428</v>
      </c>
      <c r="K21" s="230">
        <v>-184.47849943170135</v>
      </c>
      <c r="L21" s="230">
        <v>-138.26011734709951</v>
      </c>
      <c r="M21" s="230">
        <v>-171.2450310570504</v>
      </c>
      <c r="N21" s="230">
        <v>-180.92323927134737</v>
      </c>
      <c r="O21" s="231">
        <v>-2057.5080605781941</v>
      </c>
    </row>
    <row r="22" spans="1:15" ht="13" x14ac:dyDescent="0.3">
      <c r="A22" s="215"/>
      <c r="B22" s="93" t="s">
        <v>27</v>
      </c>
      <c r="C22" s="229">
        <v>-2520.7767563008424</v>
      </c>
      <c r="D22" s="230">
        <v>-2489.4951419517106</v>
      </c>
      <c r="E22" s="230">
        <v>-2273.1306427035515</v>
      </c>
      <c r="F22" s="230">
        <v>-1569.2943198480941</v>
      </c>
      <c r="G22" s="230">
        <v>-1853.4356501860379</v>
      </c>
      <c r="H22" s="230">
        <v>-2439.9659192322533</v>
      </c>
      <c r="I22" s="230">
        <v>-2429.5387144492092</v>
      </c>
      <c r="J22" s="230">
        <v>-2671.9712256549774</v>
      </c>
      <c r="K22" s="230">
        <v>-2434.7523168407306</v>
      </c>
      <c r="L22" s="230">
        <v>-1824.7608370326673</v>
      </c>
      <c r="M22" s="230">
        <v>-2260.096636724747</v>
      </c>
      <c r="N22" s="230">
        <v>-2387.8298953170338</v>
      </c>
      <c r="O22" s="231">
        <v>-27155.048056241856</v>
      </c>
    </row>
    <row r="23" spans="1:15" x14ac:dyDescent="0.25">
      <c r="A23" s="215"/>
      <c r="B23" s="93" t="s">
        <v>48</v>
      </c>
      <c r="C23" s="94">
        <v>6207.634628414351</v>
      </c>
      <c r="D23" s="82">
        <v>6130.6008998300986</v>
      </c>
      <c r="E23" s="82">
        <v>5597.7842771223513</v>
      </c>
      <c r="F23" s="82">
        <v>3864.5253839766692</v>
      </c>
      <c r="G23" s="82">
        <v>4564.2484186169631</v>
      </c>
      <c r="H23" s="82">
        <v>6008.630829571699</v>
      </c>
      <c r="I23" s="82">
        <v>5982.9529200436145</v>
      </c>
      <c r="J23" s="82">
        <v>6579.9643165715715</v>
      </c>
      <c r="K23" s="82">
        <v>5995.7918748076563</v>
      </c>
      <c r="L23" s="82">
        <v>4493.6341674147316</v>
      </c>
      <c r="M23" s="82">
        <v>5565.6868902122469</v>
      </c>
      <c r="N23" s="82">
        <v>5880.2412819312776</v>
      </c>
      <c r="O23" s="95">
        <v>66871.695888513234</v>
      </c>
    </row>
    <row r="24" spans="1:15" x14ac:dyDescent="0.25">
      <c r="A24" s="215"/>
      <c r="B24" s="93" t="s">
        <v>86</v>
      </c>
      <c r="C24" s="94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95">
        <v>0</v>
      </c>
    </row>
    <row r="25" spans="1:15" x14ac:dyDescent="0.25">
      <c r="A25" s="215"/>
      <c r="B25" s="93" t="s">
        <v>88</v>
      </c>
      <c r="C25" s="94">
        <v>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95">
        <v>0</v>
      </c>
    </row>
    <row r="26" spans="1:15" x14ac:dyDescent="0.25">
      <c r="A26" s="83" t="s">
        <v>15</v>
      </c>
      <c r="B26" s="83" t="s">
        <v>69</v>
      </c>
      <c r="C26" s="90">
        <v>24.061143837678546</v>
      </c>
      <c r="D26" s="91">
        <v>20.050953198065457</v>
      </c>
      <c r="E26" s="91">
        <v>20.050953198065457</v>
      </c>
      <c r="F26" s="91">
        <v>28.071334477291636</v>
      </c>
      <c r="G26" s="91">
        <v>16.040762558452364</v>
      </c>
      <c r="H26" s="91">
        <v>56.142668954583272</v>
      </c>
      <c r="I26" s="91">
        <v>52.132478314970186</v>
      </c>
      <c r="J26" s="91">
        <v>76.193622152648729</v>
      </c>
      <c r="K26" s="91">
        <v>72.183431513035643</v>
      </c>
      <c r="L26" s="91">
        <v>24.061143837678546</v>
      </c>
      <c r="M26" s="91">
        <v>24.061143837678546</v>
      </c>
      <c r="N26" s="91">
        <v>20.050953198065457</v>
      </c>
      <c r="O26" s="92">
        <v>433.10058907821394</v>
      </c>
    </row>
    <row r="27" spans="1:15" ht="13" x14ac:dyDescent="0.3">
      <c r="A27" s="215"/>
      <c r="B27" s="93" t="s">
        <v>25</v>
      </c>
      <c r="C27" s="229">
        <v>-14.455720454447725</v>
      </c>
      <c r="D27" s="230">
        <v>-12.046433712039772</v>
      </c>
      <c r="E27" s="230">
        <v>-12.046433712039772</v>
      </c>
      <c r="F27" s="230">
        <v>-16.865007196855686</v>
      </c>
      <c r="G27" s="230">
        <v>-9.6371469696318179</v>
      </c>
      <c r="H27" s="230">
        <v>-33.730014393711372</v>
      </c>
      <c r="I27" s="230">
        <v>-31.3207276513034</v>
      </c>
      <c r="J27" s="230">
        <v>-45.776448105751143</v>
      </c>
      <c r="K27" s="230">
        <v>-43.367161363343172</v>
      </c>
      <c r="L27" s="230">
        <v>-14.455720454447725</v>
      </c>
      <c r="M27" s="230">
        <v>-14.455720454447725</v>
      </c>
      <c r="N27" s="230">
        <v>-12.046433712039772</v>
      </c>
      <c r="O27" s="231">
        <v>-260.20296818005909</v>
      </c>
    </row>
    <row r="28" spans="1:15" ht="13" x14ac:dyDescent="0.3">
      <c r="A28" s="215"/>
      <c r="B28" s="93" t="s">
        <v>26</v>
      </c>
      <c r="C28" s="229">
        <v>-1.1850867201179958</v>
      </c>
      <c r="D28" s="230">
        <v>-0.98757226676499654</v>
      </c>
      <c r="E28" s="230">
        <v>-0.98757226676499654</v>
      </c>
      <c r="F28" s="230">
        <v>-1.3826011734709951</v>
      </c>
      <c r="G28" s="230">
        <v>-0.79005781341199721</v>
      </c>
      <c r="H28" s="230">
        <v>-2.7652023469419902</v>
      </c>
      <c r="I28" s="230">
        <v>-2.5676878935889906</v>
      </c>
      <c r="J28" s="230">
        <v>-3.7527746137069871</v>
      </c>
      <c r="K28" s="230">
        <v>-3.5552601603539875</v>
      </c>
      <c r="L28" s="230">
        <v>-1.1850867201179958</v>
      </c>
      <c r="M28" s="230">
        <v>-1.1850867201179958</v>
      </c>
      <c r="N28" s="230">
        <v>-0.98757226676499654</v>
      </c>
      <c r="O28" s="231">
        <v>-21.33156096212393</v>
      </c>
    </row>
    <row r="29" spans="1:15" ht="13" x14ac:dyDescent="0.3">
      <c r="A29" s="215"/>
      <c r="B29" s="93" t="s">
        <v>27</v>
      </c>
      <c r="C29" s="229">
        <v>-15.640807174565721</v>
      </c>
      <c r="D29" s="230">
        <v>-13.034005978804768</v>
      </c>
      <c r="E29" s="230">
        <v>-13.034005978804768</v>
      </c>
      <c r="F29" s="230">
        <v>-18.247608370326681</v>
      </c>
      <c r="G29" s="230">
        <v>-10.427204783043814</v>
      </c>
      <c r="H29" s="230">
        <v>-36.495216740653362</v>
      </c>
      <c r="I29" s="230">
        <v>-33.888415544892389</v>
      </c>
      <c r="J29" s="230">
        <v>-49.529222719458133</v>
      </c>
      <c r="K29" s="230">
        <v>-46.92242152369716</v>
      </c>
      <c r="L29" s="230">
        <v>-15.640807174565721</v>
      </c>
      <c r="M29" s="230">
        <v>-15.640807174565721</v>
      </c>
      <c r="N29" s="230">
        <v>-13.034005978804768</v>
      </c>
      <c r="O29" s="231">
        <v>-281.53452914218298</v>
      </c>
    </row>
    <row r="30" spans="1:15" x14ac:dyDescent="0.25">
      <c r="A30" s="215"/>
      <c r="B30" s="93" t="s">
        <v>48</v>
      </c>
      <c r="C30" s="94">
        <v>38.516864292126272</v>
      </c>
      <c r="D30" s="82">
        <v>32.097386910105229</v>
      </c>
      <c r="E30" s="82">
        <v>32.097386910105229</v>
      </c>
      <c r="F30" s="82">
        <v>44.936341674147322</v>
      </c>
      <c r="G30" s="82">
        <v>25.677909528084182</v>
      </c>
      <c r="H30" s="82">
        <v>89.872683348294643</v>
      </c>
      <c r="I30" s="82">
        <v>83.453205966273586</v>
      </c>
      <c r="J30" s="82">
        <v>121.97007025839987</v>
      </c>
      <c r="K30" s="82">
        <v>115.55059287637881</v>
      </c>
      <c r="L30" s="82">
        <v>38.516864292126272</v>
      </c>
      <c r="M30" s="82">
        <v>38.516864292126272</v>
      </c>
      <c r="N30" s="82">
        <v>32.097386910105229</v>
      </c>
      <c r="O30" s="95">
        <v>693.3035572582728</v>
      </c>
    </row>
    <row r="31" spans="1:15" x14ac:dyDescent="0.25">
      <c r="A31" s="215"/>
      <c r="B31" s="93" t="s">
        <v>86</v>
      </c>
      <c r="C31" s="94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95">
        <v>0</v>
      </c>
    </row>
    <row r="32" spans="1:15" x14ac:dyDescent="0.25">
      <c r="A32" s="215"/>
      <c r="B32" s="93" t="s">
        <v>88</v>
      </c>
      <c r="C32" s="94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95">
        <v>0</v>
      </c>
    </row>
    <row r="33" spans="1:15" x14ac:dyDescent="0.25">
      <c r="A33" s="83" t="s">
        <v>16</v>
      </c>
      <c r="B33" s="83" t="s">
        <v>69</v>
      </c>
      <c r="C33" s="90">
        <v>16.040762558452364</v>
      </c>
      <c r="D33" s="91">
        <v>20.050953198065457</v>
      </c>
      <c r="E33" s="91">
        <v>4.0101906396130911</v>
      </c>
      <c r="F33" s="91">
        <v>28.071334477291636</v>
      </c>
      <c r="G33" s="91">
        <v>12.030571918839273</v>
      </c>
      <c r="H33" s="91">
        <v>28.071334477291636</v>
      </c>
      <c r="I33" s="91">
        <v>20.050953198065457</v>
      </c>
      <c r="J33" s="91">
        <v>20.050953198065457</v>
      </c>
      <c r="K33" s="91">
        <v>24.061143837678546</v>
      </c>
      <c r="L33" s="91">
        <v>20.050953198065457</v>
      </c>
      <c r="M33" s="91">
        <v>16.040762558452364</v>
      </c>
      <c r="N33" s="91">
        <v>16.040762558452364</v>
      </c>
      <c r="O33" s="92">
        <v>224.57067581833311</v>
      </c>
    </row>
    <row r="34" spans="1:15" ht="13" x14ac:dyDescent="0.3">
      <c r="A34" s="215"/>
      <c r="B34" s="93" t="s">
        <v>25</v>
      </c>
      <c r="C34" s="229">
        <v>-9.6371469696318179</v>
      </c>
      <c r="D34" s="230">
        <v>-12.046433712039772</v>
      </c>
      <c r="E34" s="230">
        <v>-2.4092867424079545</v>
      </c>
      <c r="F34" s="230">
        <v>-16.865007196855686</v>
      </c>
      <c r="G34" s="230">
        <v>-7.2278602272238626</v>
      </c>
      <c r="H34" s="230">
        <v>-16.865007196855686</v>
      </c>
      <c r="I34" s="230">
        <v>-12.046433712039772</v>
      </c>
      <c r="J34" s="230">
        <v>-12.046433712039772</v>
      </c>
      <c r="K34" s="230">
        <v>-14.455720454447725</v>
      </c>
      <c r="L34" s="230">
        <v>-12.046433712039772</v>
      </c>
      <c r="M34" s="230">
        <v>-9.6371469696318179</v>
      </c>
      <c r="N34" s="230">
        <v>-9.6371469696318179</v>
      </c>
      <c r="O34" s="231">
        <v>-134.92005757484546</v>
      </c>
    </row>
    <row r="35" spans="1:15" ht="13" x14ac:dyDescent="0.3">
      <c r="A35" s="215"/>
      <c r="B35" s="93" t="s">
        <v>26</v>
      </c>
      <c r="C35" s="229">
        <v>-0.79005781341199721</v>
      </c>
      <c r="D35" s="230">
        <v>-0.98757226676499654</v>
      </c>
      <c r="E35" s="230">
        <v>-0.1975144533529993</v>
      </c>
      <c r="F35" s="230">
        <v>-1.3826011734709951</v>
      </c>
      <c r="G35" s="230">
        <v>-0.59254336005899788</v>
      </c>
      <c r="H35" s="230">
        <v>-1.3826011734709951</v>
      </c>
      <c r="I35" s="230">
        <v>-0.98757226676499654</v>
      </c>
      <c r="J35" s="230">
        <v>-0.98757226676499654</v>
      </c>
      <c r="K35" s="230">
        <v>-1.1850867201179958</v>
      </c>
      <c r="L35" s="230">
        <v>-0.98757226676499654</v>
      </c>
      <c r="M35" s="230">
        <v>-0.79005781341199721</v>
      </c>
      <c r="N35" s="230">
        <v>-0.79005781341199721</v>
      </c>
      <c r="O35" s="231">
        <v>-11.060809387767959</v>
      </c>
    </row>
    <row r="36" spans="1:15" ht="13" x14ac:dyDescent="0.3">
      <c r="A36" s="215"/>
      <c r="B36" s="93" t="s">
        <v>27</v>
      </c>
      <c r="C36" s="229">
        <v>-10.427204783043814</v>
      </c>
      <c r="D36" s="230">
        <v>-13.034005978804768</v>
      </c>
      <c r="E36" s="230">
        <v>-2.6068011957609536</v>
      </c>
      <c r="F36" s="230">
        <v>-18.247608370326681</v>
      </c>
      <c r="G36" s="230">
        <v>-7.8204035872828603</v>
      </c>
      <c r="H36" s="230">
        <v>-18.247608370326681</v>
      </c>
      <c r="I36" s="230">
        <v>-13.034005978804768</v>
      </c>
      <c r="J36" s="230">
        <v>-13.034005978804768</v>
      </c>
      <c r="K36" s="230">
        <v>-15.640807174565721</v>
      </c>
      <c r="L36" s="230">
        <v>-13.034005978804768</v>
      </c>
      <c r="M36" s="230">
        <v>-10.427204783043814</v>
      </c>
      <c r="N36" s="230">
        <v>-10.427204783043814</v>
      </c>
      <c r="O36" s="231">
        <v>-145.98086696261342</v>
      </c>
    </row>
    <row r="37" spans="1:15" x14ac:dyDescent="0.25">
      <c r="A37" s="215"/>
      <c r="B37" s="93" t="s">
        <v>48</v>
      </c>
      <c r="C37" s="94">
        <v>25.677909528084182</v>
      </c>
      <c r="D37" s="82">
        <v>32.097386910105229</v>
      </c>
      <c r="E37" s="82">
        <v>6.4194773820210456</v>
      </c>
      <c r="F37" s="82">
        <v>44.936341674147322</v>
      </c>
      <c r="G37" s="82">
        <v>19.258432146063136</v>
      </c>
      <c r="H37" s="82">
        <v>44.936341674147322</v>
      </c>
      <c r="I37" s="82">
        <v>32.097386910105229</v>
      </c>
      <c r="J37" s="82">
        <v>32.097386910105229</v>
      </c>
      <c r="K37" s="82">
        <v>38.516864292126272</v>
      </c>
      <c r="L37" s="82">
        <v>32.097386910105229</v>
      </c>
      <c r="M37" s="82">
        <v>25.677909528084182</v>
      </c>
      <c r="N37" s="82">
        <v>25.677909528084182</v>
      </c>
      <c r="O37" s="95">
        <v>359.49073339317852</v>
      </c>
    </row>
    <row r="38" spans="1:15" x14ac:dyDescent="0.25">
      <c r="A38" s="215"/>
      <c r="B38" s="93" t="s">
        <v>86</v>
      </c>
      <c r="C38" s="94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95">
        <v>0</v>
      </c>
    </row>
    <row r="39" spans="1:15" x14ac:dyDescent="0.25">
      <c r="A39" s="215"/>
      <c r="B39" s="93" t="s">
        <v>88</v>
      </c>
      <c r="C39" s="94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95">
        <v>0</v>
      </c>
    </row>
    <row r="40" spans="1:15" x14ac:dyDescent="0.25">
      <c r="A40" s="83" t="s">
        <v>19</v>
      </c>
      <c r="B40" s="83" t="s">
        <v>69</v>
      </c>
      <c r="C40" s="90">
        <v>252.64201029562474</v>
      </c>
      <c r="D40" s="91">
        <v>252.64201029562474</v>
      </c>
      <c r="E40" s="91">
        <v>268.68277285407709</v>
      </c>
      <c r="F40" s="91">
        <v>248.63181965601166</v>
      </c>
      <c r="G40" s="91">
        <v>204.51972262026766</v>
      </c>
      <c r="H40" s="91">
        <v>268.68277285407709</v>
      </c>
      <c r="I40" s="91">
        <v>264.672582214464</v>
      </c>
      <c r="J40" s="91">
        <v>244.62162901639854</v>
      </c>
      <c r="K40" s="91">
        <v>220.56048517872</v>
      </c>
      <c r="L40" s="91">
        <v>236.60124773717237</v>
      </c>
      <c r="M40" s="91">
        <v>252.64201029562474</v>
      </c>
      <c r="N40" s="91">
        <v>252.64201029562474</v>
      </c>
      <c r="O40" s="92">
        <v>2967.5410733136878</v>
      </c>
    </row>
    <row r="41" spans="1:15" ht="13" x14ac:dyDescent="0.3">
      <c r="A41" s="215"/>
      <c r="B41" s="93" t="s">
        <v>25</v>
      </c>
      <c r="C41" s="229">
        <v>-151.78506477170112</v>
      </c>
      <c r="D41" s="230">
        <v>-151.78506477170112</v>
      </c>
      <c r="E41" s="230">
        <v>-161.42221174133294</v>
      </c>
      <c r="F41" s="230">
        <v>-149.37577802929314</v>
      </c>
      <c r="G41" s="230">
        <v>-122.87362386280569</v>
      </c>
      <c r="H41" s="230">
        <v>-161.42221174133294</v>
      </c>
      <c r="I41" s="230">
        <v>-159.01292499892503</v>
      </c>
      <c r="J41" s="230">
        <v>-146.96649128688526</v>
      </c>
      <c r="K41" s="230">
        <v>-132.51077083243752</v>
      </c>
      <c r="L41" s="230">
        <v>-142.14791780206932</v>
      </c>
      <c r="M41" s="230">
        <v>-151.78506477170112</v>
      </c>
      <c r="N41" s="230">
        <v>-151.78506477170112</v>
      </c>
      <c r="O41" s="231">
        <v>-1782.8721893818863</v>
      </c>
    </row>
    <row r="42" spans="1:15" ht="13" x14ac:dyDescent="0.3">
      <c r="A42" s="215"/>
      <c r="B42" s="93" t="s">
        <v>26</v>
      </c>
      <c r="C42" s="229">
        <v>-12.443410561238956</v>
      </c>
      <c r="D42" s="230">
        <v>-12.443410561238956</v>
      </c>
      <c r="E42" s="230">
        <v>-13.233468374650954</v>
      </c>
      <c r="F42" s="230">
        <v>-12.245896107885956</v>
      </c>
      <c r="G42" s="230">
        <v>-10.073237121002963</v>
      </c>
      <c r="H42" s="230">
        <v>-13.233468374650954</v>
      </c>
      <c r="I42" s="230">
        <v>-13.035953921297954</v>
      </c>
      <c r="J42" s="230">
        <v>-12.048381654532957</v>
      </c>
      <c r="K42" s="230">
        <v>-10.863294934414963</v>
      </c>
      <c r="L42" s="230">
        <v>-11.653352747826959</v>
      </c>
      <c r="M42" s="230">
        <v>-12.443410561238956</v>
      </c>
      <c r="N42" s="230">
        <v>-12.443410561238956</v>
      </c>
      <c r="O42" s="231">
        <v>-146.16069548121948</v>
      </c>
    </row>
    <row r="43" spans="1:15" ht="13" x14ac:dyDescent="0.3">
      <c r="A43" s="215"/>
      <c r="B43" s="93" t="s">
        <v>27</v>
      </c>
      <c r="C43" s="229">
        <v>-164.22847533294006</v>
      </c>
      <c r="D43" s="230">
        <v>-164.22847533294006</v>
      </c>
      <c r="E43" s="230">
        <v>-174.6556801159839</v>
      </c>
      <c r="F43" s="230">
        <v>-161.6216741371791</v>
      </c>
      <c r="G43" s="230">
        <v>-132.94686098380865</v>
      </c>
      <c r="H43" s="230">
        <v>-174.6556801159839</v>
      </c>
      <c r="I43" s="230">
        <v>-172.04887892022299</v>
      </c>
      <c r="J43" s="230">
        <v>-159.01487294141822</v>
      </c>
      <c r="K43" s="230">
        <v>-143.37406576685248</v>
      </c>
      <c r="L43" s="230">
        <v>-153.80127054989629</v>
      </c>
      <c r="M43" s="230">
        <v>-164.22847533294006</v>
      </c>
      <c r="N43" s="230">
        <v>-164.22847533294006</v>
      </c>
      <c r="O43" s="231">
        <v>-1929.0328848631054</v>
      </c>
    </row>
    <row r="44" spans="1:15" x14ac:dyDescent="0.25">
      <c r="A44" s="215"/>
      <c r="B44" s="93" t="s">
        <v>48</v>
      </c>
      <c r="C44" s="94">
        <v>404.42707506732586</v>
      </c>
      <c r="D44" s="82">
        <v>404.42707506732586</v>
      </c>
      <c r="E44" s="82">
        <v>430.10498459541003</v>
      </c>
      <c r="F44" s="82">
        <v>398.0075976853048</v>
      </c>
      <c r="G44" s="82">
        <v>327.39334648307334</v>
      </c>
      <c r="H44" s="82">
        <v>430.10498459541003</v>
      </c>
      <c r="I44" s="82">
        <v>423.68550721338903</v>
      </c>
      <c r="J44" s="82">
        <v>391.5881203032838</v>
      </c>
      <c r="K44" s="82">
        <v>353.07125601115752</v>
      </c>
      <c r="L44" s="82">
        <v>378.74916553924169</v>
      </c>
      <c r="M44" s="82">
        <v>404.42707506732586</v>
      </c>
      <c r="N44" s="82">
        <v>404.42707506732586</v>
      </c>
      <c r="O44" s="95">
        <v>4750.4132626955734</v>
      </c>
    </row>
    <row r="45" spans="1:15" x14ac:dyDescent="0.25">
      <c r="A45" s="215"/>
      <c r="B45" s="93" t="s">
        <v>86</v>
      </c>
      <c r="C45" s="94">
        <v>0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95">
        <v>0</v>
      </c>
    </row>
    <row r="46" spans="1:15" x14ac:dyDescent="0.25">
      <c r="A46" s="215"/>
      <c r="B46" s="93" t="s">
        <v>88</v>
      </c>
      <c r="C46" s="94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95">
        <v>0</v>
      </c>
    </row>
    <row r="47" spans="1:15" x14ac:dyDescent="0.25">
      <c r="A47" s="83" t="s">
        <v>8</v>
      </c>
      <c r="B47" s="83" t="s">
        <v>69</v>
      </c>
      <c r="C47" s="90">
        <v>336.85601372749966</v>
      </c>
      <c r="D47" s="91">
        <v>332.84582308788657</v>
      </c>
      <c r="E47" s="91">
        <v>304.77448861059491</v>
      </c>
      <c r="F47" s="91">
        <v>276.70315413330326</v>
      </c>
      <c r="G47" s="91">
        <v>397.008873321696</v>
      </c>
      <c r="H47" s="91">
        <v>597.51840530235052</v>
      </c>
      <c r="I47" s="91">
        <v>593.50821466273749</v>
      </c>
      <c r="J47" s="91">
        <v>641.63050233809463</v>
      </c>
      <c r="K47" s="91">
        <v>621.57954914002914</v>
      </c>
      <c r="L47" s="91">
        <v>441.12097035744</v>
      </c>
      <c r="M47" s="91">
        <v>280.7133447729164</v>
      </c>
      <c r="N47" s="91">
        <v>264.672582214464</v>
      </c>
      <c r="O47" s="92">
        <v>5088.9319216690128</v>
      </c>
    </row>
    <row r="48" spans="1:15" ht="13" x14ac:dyDescent="0.3">
      <c r="A48" s="215"/>
      <c r="B48" s="93" t="s">
        <v>25</v>
      </c>
      <c r="C48" s="229">
        <v>-202.38008636226812</v>
      </c>
      <c r="D48" s="230">
        <v>-199.9707996198602</v>
      </c>
      <c r="E48" s="230">
        <v>-183.10579242300457</v>
      </c>
      <c r="F48" s="230">
        <v>-166.24078522614889</v>
      </c>
      <c r="G48" s="230">
        <v>-238.51938749838746</v>
      </c>
      <c r="H48" s="230">
        <v>-358.98372461878523</v>
      </c>
      <c r="I48" s="230">
        <v>-356.57443787637726</v>
      </c>
      <c r="J48" s="230">
        <v>-385.48587878527269</v>
      </c>
      <c r="K48" s="230">
        <v>-373.43944507323295</v>
      </c>
      <c r="L48" s="230">
        <v>-265.02154166487503</v>
      </c>
      <c r="M48" s="230">
        <v>-168.6500719685568</v>
      </c>
      <c r="N48" s="230">
        <v>-159.01292499892503</v>
      </c>
      <c r="O48" s="231">
        <v>-3057.3848761156937</v>
      </c>
    </row>
    <row r="49" spans="1:15" ht="13" x14ac:dyDescent="0.3">
      <c r="A49" s="215"/>
      <c r="B49" s="93" t="s">
        <v>26</v>
      </c>
      <c r="C49" s="229">
        <v>-16.591214081651941</v>
      </c>
      <c r="D49" s="230">
        <v>-16.393699628298943</v>
      </c>
      <c r="E49" s="230">
        <v>-15.011098454827948</v>
      </c>
      <c r="F49" s="230">
        <v>-13.628497281356953</v>
      </c>
      <c r="G49" s="230">
        <v>-19.553930881946933</v>
      </c>
      <c r="H49" s="230">
        <v>-29.429653549596896</v>
      </c>
      <c r="I49" s="230">
        <v>-29.232139096243895</v>
      </c>
      <c r="J49" s="230">
        <v>-31.602312536479889</v>
      </c>
      <c r="K49" s="230">
        <v>-30.614740269714893</v>
      </c>
      <c r="L49" s="230">
        <v>-21.726589868829926</v>
      </c>
      <c r="M49" s="230">
        <v>-13.826011734709951</v>
      </c>
      <c r="N49" s="230">
        <v>-13.035953921297954</v>
      </c>
      <c r="O49" s="231">
        <v>-250.64584130495615</v>
      </c>
    </row>
    <row r="50" spans="1:15" ht="13" x14ac:dyDescent="0.3">
      <c r="A50" s="215"/>
      <c r="B50" s="93" t="s">
        <v>27</v>
      </c>
      <c r="C50" s="229">
        <v>-218.97130044392006</v>
      </c>
      <c r="D50" s="230">
        <v>-216.36449924815915</v>
      </c>
      <c r="E50" s="230">
        <v>-198.11689087783253</v>
      </c>
      <c r="F50" s="230">
        <v>-179.86928250750583</v>
      </c>
      <c r="G50" s="230">
        <v>-258.0733183803344</v>
      </c>
      <c r="H50" s="230">
        <v>-388.41337816838211</v>
      </c>
      <c r="I50" s="230">
        <v>-385.80657697262114</v>
      </c>
      <c r="J50" s="230">
        <v>-417.08819132175256</v>
      </c>
      <c r="K50" s="230">
        <v>-404.05418534294785</v>
      </c>
      <c r="L50" s="230">
        <v>-286.74813153370496</v>
      </c>
      <c r="M50" s="230">
        <v>-182.47608370326674</v>
      </c>
      <c r="N50" s="230">
        <v>-172.04887892022299</v>
      </c>
      <c r="O50" s="231">
        <v>-3308.0307174206505</v>
      </c>
    </row>
    <row r="51" spans="1:15" x14ac:dyDescent="0.25">
      <c r="A51" s="215"/>
      <c r="B51" s="93" t="s">
        <v>48</v>
      </c>
      <c r="C51" s="94">
        <v>539.23610008976777</v>
      </c>
      <c r="D51" s="82">
        <v>532.81662270774677</v>
      </c>
      <c r="E51" s="82">
        <v>487.88028103359949</v>
      </c>
      <c r="F51" s="82">
        <v>442.94393935945214</v>
      </c>
      <c r="G51" s="82">
        <v>635.52826082008346</v>
      </c>
      <c r="H51" s="82">
        <v>956.50212992113575</v>
      </c>
      <c r="I51" s="82">
        <v>950.08265253911475</v>
      </c>
      <c r="J51" s="82">
        <v>1027.1163811233673</v>
      </c>
      <c r="K51" s="82">
        <v>995.01899421326209</v>
      </c>
      <c r="L51" s="82">
        <v>706.14251202231503</v>
      </c>
      <c r="M51" s="82">
        <v>449.3634167414732</v>
      </c>
      <c r="N51" s="82">
        <v>423.68550721338903</v>
      </c>
      <c r="O51" s="95">
        <v>8146.3167977847061</v>
      </c>
    </row>
    <row r="52" spans="1:15" x14ac:dyDescent="0.25">
      <c r="A52" s="215"/>
      <c r="B52" s="93" t="s">
        <v>86</v>
      </c>
      <c r="C52" s="94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95">
        <v>0</v>
      </c>
    </row>
    <row r="53" spans="1:15" x14ac:dyDescent="0.25">
      <c r="A53" s="215"/>
      <c r="B53" s="93" t="s">
        <v>88</v>
      </c>
      <c r="C53" s="94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95">
        <v>0</v>
      </c>
    </row>
    <row r="54" spans="1:15" x14ac:dyDescent="0.25">
      <c r="A54" s="83" t="s">
        <v>21</v>
      </c>
      <c r="B54" s="83" t="s">
        <v>69</v>
      </c>
      <c r="C54" s="90">
        <v>11268.635697312786</v>
      </c>
      <c r="D54" s="91">
        <v>11112.238262367875</v>
      </c>
      <c r="E54" s="91">
        <v>9580.3454380356743</v>
      </c>
      <c r="F54" s="91">
        <v>9592.3760099545143</v>
      </c>
      <c r="G54" s="91">
        <v>12956.925956589897</v>
      </c>
      <c r="H54" s="91">
        <v>16441.781622413673</v>
      </c>
      <c r="I54" s="91">
        <v>15992.640270777007</v>
      </c>
      <c r="J54" s="91">
        <v>17103.463077949833</v>
      </c>
      <c r="K54" s="91">
        <v>16104.925608686173</v>
      </c>
      <c r="L54" s="91">
        <v>12451.641935998648</v>
      </c>
      <c r="M54" s="91">
        <v>10077.609077347697</v>
      </c>
      <c r="N54" s="91">
        <v>9921.2116424027881</v>
      </c>
      <c r="O54" s="92">
        <v>152603.79459983658</v>
      </c>
    </row>
    <row r="55" spans="1:15" ht="13" x14ac:dyDescent="0.3">
      <c r="A55" s="215"/>
      <c r="B55" s="93" t="s">
        <v>25</v>
      </c>
      <c r="C55" s="229">
        <v>-6770.0957461663511</v>
      </c>
      <c r="D55" s="230">
        <v>-6676.1335632124428</v>
      </c>
      <c r="E55" s="230">
        <v>-5755.786027612603</v>
      </c>
      <c r="F55" s="230">
        <v>-5763.0138878398266</v>
      </c>
      <c r="G55" s="230">
        <v>-7784.405464720101</v>
      </c>
      <c r="H55" s="230">
        <v>-9878.075643872613</v>
      </c>
      <c r="I55" s="230">
        <v>-9608.235528722922</v>
      </c>
      <c r="J55" s="230">
        <v>-10275.607956369928</v>
      </c>
      <c r="K55" s="230">
        <v>-9675.6955575103475</v>
      </c>
      <c r="L55" s="230">
        <v>-7480.8353351766982</v>
      </c>
      <c r="M55" s="230">
        <v>-6054.5375836711901</v>
      </c>
      <c r="N55" s="230">
        <v>-5960.5754007172782</v>
      </c>
      <c r="O55" s="231">
        <v>-91682.997695592305</v>
      </c>
    </row>
    <row r="56" spans="1:15" ht="13" x14ac:dyDescent="0.3">
      <c r="A56" s="215"/>
      <c r="B56" s="93" t="s">
        <v>26</v>
      </c>
      <c r="C56" s="229">
        <v>-555.01561392192798</v>
      </c>
      <c r="D56" s="230">
        <v>-547.31255024116103</v>
      </c>
      <c r="E56" s="230">
        <v>-471.86202906031536</v>
      </c>
      <c r="F56" s="230">
        <v>-472.45457242037435</v>
      </c>
      <c r="G56" s="230">
        <v>-638.16919878354076</v>
      </c>
      <c r="H56" s="230">
        <v>-809.80925874729712</v>
      </c>
      <c r="I56" s="230">
        <v>-787.68763997176131</v>
      </c>
      <c r="J56" s="230">
        <v>-842.39914355054202</v>
      </c>
      <c r="K56" s="230">
        <v>-793.21804466564527</v>
      </c>
      <c r="L56" s="230">
        <v>-613.28237766106292</v>
      </c>
      <c r="M56" s="230">
        <v>-496.35382127608727</v>
      </c>
      <c r="N56" s="230">
        <v>-488.65075759532027</v>
      </c>
      <c r="O56" s="231">
        <v>-7516.2150078950363</v>
      </c>
    </row>
    <row r="57" spans="1:15" ht="13" x14ac:dyDescent="0.3">
      <c r="A57" s="215"/>
      <c r="B57" s="93" t="s">
        <v>27</v>
      </c>
      <c r="C57" s="229">
        <v>-7325.1113600882791</v>
      </c>
      <c r="D57" s="230">
        <v>-7223.4461134536041</v>
      </c>
      <c r="E57" s="230">
        <v>-6227.6480566729188</v>
      </c>
      <c r="F57" s="230">
        <v>-6235.468460260201</v>
      </c>
      <c r="G57" s="230">
        <v>-8422.5746635036412</v>
      </c>
      <c r="H57" s="230">
        <v>-10687.88490261991</v>
      </c>
      <c r="I57" s="230">
        <v>-10395.923168694684</v>
      </c>
      <c r="J57" s="230">
        <v>-11118.007099920469</v>
      </c>
      <c r="K57" s="230">
        <v>-10468.913602175993</v>
      </c>
      <c r="L57" s="230">
        <v>-8094.1177128377612</v>
      </c>
      <c r="M57" s="230">
        <v>-6550.8914049472769</v>
      </c>
      <c r="N57" s="230">
        <v>-6449.2261583125983</v>
      </c>
      <c r="O57" s="231">
        <v>-99199.212703487327</v>
      </c>
    </row>
    <row r="58" spans="1:15" x14ac:dyDescent="0.25">
      <c r="A58" s="215"/>
      <c r="B58" s="93" t="s">
        <v>48</v>
      </c>
      <c r="C58" s="94">
        <v>18038.731443479137</v>
      </c>
      <c r="D58" s="82">
        <v>17788.371825580318</v>
      </c>
      <c r="E58" s="82">
        <v>15336.131465648277</v>
      </c>
      <c r="F58" s="82">
        <v>15355.389897794341</v>
      </c>
      <c r="G58" s="82">
        <v>20741.331421309998</v>
      </c>
      <c r="H58" s="82">
        <v>26319.857266286286</v>
      </c>
      <c r="I58" s="82">
        <v>25600.875799499929</v>
      </c>
      <c r="J58" s="82">
        <v>27379.071034319761</v>
      </c>
      <c r="K58" s="82">
        <v>25780.621166196521</v>
      </c>
      <c r="L58" s="82">
        <v>19932.477271175347</v>
      </c>
      <c r="M58" s="82">
        <v>16132.146661018887</v>
      </c>
      <c r="N58" s="82">
        <v>15881.787043120066</v>
      </c>
      <c r="O58" s="95">
        <v>244286.79229542887</v>
      </c>
    </row>
    <row r="59" spans="1:15" x14ac:dyDescent="0.25">
      <c r="A59" s="215"/>
      <c r="B59" s="93" t="s">
        <v>86</v>
      </c>
      <c r="C59" s="94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82">
        <v>0</v>
      </c>
      <c r="K59" s="82">
        <v>0</v>
      </c>
      <c r="L59" s="82">
        <v>0</v>
      </c>
      <c r="M59" s="82">
        <v>0</v>
      </c>
      <c r="N59" s="82">
        <v>0</v>
      </c>
      <c r="O59" s="95">
        <v>0</v>
      </c>
    </row>
    <row r="60" spans="1:15" x14ac:dyDescent="0.25">
      <c r="A60" s="215"/>
      <c r="B60" s="93" t="s">
        <v>88</v>
      </c>
      <c r="C60" s="94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95">
        <v>0</v>
      </c>
    </row>
    <row r="61" spans="1:15" x14ac:dyDescent="0.25">
      <c r="A61" s="83" t="s">
        <v>22</v>
      </c>
      <c r="B61" s="83" t="s">
        <v>69</v>
      </c>
      <c r="C61" s="90">
        <v>10923.75930230606</v>
      </c>
      <c r="D61" s="91">
        <v>11056.095593413293</v>
      </c>
      <c r="E61" s="91">
        <v>10590.913479218174</v>
      </c>
      <c r="F61" s="91">
        <v>9692.6307759448409</v>
      </c>
      <c r="G61" s="91">
        <v>11404.982179059631</v>
      </c>
      <c r="H61" s="91">
        <v>14035.667238645819</v>
      </c>
      <c r="I61" s="91">
        <v>14312.370392779121</v>
      </c>
      <c r="J61" s="91">
        <v>15102.377948782902</v>
      </c>
      <c r="K61" s="91">
        <v>13859.218850502843</v>
      </c>
      <c r="L61" s="91">
        <v>11268.635697312786</v>
      </c>
      <c r="M61" s="91">
        <v>10021.466408393115</v>
      </c>
      <c r="N61" s="91">
        <v>10153.802699500347</v>
      </c>
      <c r="O61" s="92">
        <v>142421.92056585895</v>
      </c>
    </row>
    <row r="62" spans="1:15" ht="13" x14ac:dyDescent="0.3">
      <c r="A62" s="215"/>
      <c r="B62" s="93" t="s">
        <v>25</v>
      </c>
      <c r="C62" s="229">
        <v>-6562.8970863192681</v>
      </c>
      <c r="D62" s="230">
        <v>-6642.403548818731</v>
      </c>
      <c r="E62" s="230">
        <v>-6362.9262866994086</v>
      </c>
      <c r="F62" s="230">
        <v>-5823.2460564000266</v>
      </c>
      <c r="G62" s="230">
        <v>-6852.0114954082219</v>
      </c>
      <c r="H62" s="230">
        <v>-8432.5035984278402</v>
      </c>
      <c r="I62" s="230">
        <v>-8598.7443836539896</v>
      </c>
      <c r="J62" s="230">
        <v>-9073.3738719083558</v>
      </c>
      <c r="K62" s="230">
        <v>-8326.4949817618908</v>
      </c>
      <c r="L62" s="230">
        <v>-6770.0957461663511</v>
      </c>
      <c r="M62" s="230">
        <v>-6020.8075692774783</v>
      </c>
      <c r="N62" s="230">
        <v>-6100.3140317769394</v>
      </c>
      <c r="O62" s="231">
        <v>-85565.818656618489</v>
      </c>
    </row>
    <row r="63" spans="1:15" ht="13" x14ac:dyDescent="0.3">
      <c r="A63" s="215"/>
      <c r="B63" s="93" t="s">
        <v>26</v>
      </c>
      <c r="C63" s="229">
        <v>-538.02937093357014</v>
      </c>
      <c r="D63" s="230">
        <v>-544.54734789421912</v>
      </c>
      <c r="E63" s="230">
        <v>-521.63567130527122</v>
      </c>
      <c r="F63" s="230">
        <v>-477.39243375419932</v>
      </c>
      <c r="G63" s="230">
        <v>-561.73110533593001</v>
      </c>
      <c r="H63" s="230">
        <v>-691.30058673549752</v>
      </c>
      <c r="I63" s="230">
        <v>-704.92908401685452</v>
      </c>
      <c r="J63" s="230">
        <v>-743.83943132739535</v>
      </c>
      <c r="K63" s="230">
        <v>-682.60995078796566</v>
      </c>
      <c r="L63" s="230">
        <v>-555.01561392192798</v>
      </c>
      <c r="M63" s="230">
        <v>-493.5886189291453</v>
      </c>
      <c r="N63" s="230">
        <v>-500.10659588979422</v>
      </c>
      <c r="O63" s="231">
        <v>-7014.7258108317692</v>
      </c>
    </row>
    <row r="64" spans="1:15" ht="13" x14ac:dyDescent="0.3">
      <c r="A64" s="215"/>
      <c r="B64" s="93" t="s">
        <v>27</v>
      </c>
      <c r="C64" s="229">
        <v>-7100.9264572528382</v>
      </c>
      <c r="D64" s="230">
        <v>-7186.9508967129505</v>
      </c>
      <c r="E64" s="230">
        <v>-6884.5619580046796</v>
      </c>
      <c r="F64" s="230">
        <v>-6300.638490154226</v>
      </c>
      <c r="G64" s="230">
        <v>-7413.7426007441518</v>
      </c>
      <c r="H64" s="230">
        <v>-9123.804185163337</v>
      </c>
      <c r="I64" s="230">
        <v>-9303.6734676708438</v>
      </c>
      <c r="J64" s="230">
        <v>-9817.2133032357506</v>
      </c>
      <c r="K64" s="230">
        <v>-9009.104932549857</v>
      </c>
      <c r="L64" s="230">
        <v>-7325.1113600882791</v>
      </c>
      <c r="M64" s="230">
        <v>-6514.3961882066233</v>
      </c>
      <c r="N64" s="230">
        <v>-6600.4206276667337</v>
      </c>
      <c r="O64" s="231">
        <v>-92580.54446745028</v>
      </c>
    </row>
    <row r="65" spans="1:15" x14ac:dyDescent="0.25">
      <c r="A65" s="215"/>
      <c r="B65" s="93" t="s">
        <v>48</v>
      </c>
      <c r="C65" s="94">
        <v>17486.656388625328</v>
      </c>
      <c r="D65" s="82">
        <v>17698.499142232024</v>
      </c>
      <c r="E65" s="82">
        <v>16953.839765917583</v>
      </c>
      <c r="F65" s="82">
        <v>15515.876832344868</v>
      </c>
      <c r="G65" s="82">
        <v>18256.993674467853</v>
      </c>
      <c r="H65" s="82">
        <v>22468.17083707366</v>
      </c>
      <c r="I65" s="82">
        <v>22911.114776433111</v>
      </c>
      <c r="J65" s="82">
        <v>24175.751820691257</v>
      </c>
      <c r="K65" s="82">
        <v>22185.713832264733</v>
      </c>
      <c r="L65" s="82">
        <v>18038.731443479137</v>
      </c>
      <c r="M65" s="82">
        <v>16042.273977670593</v>
      </c>
      <c r="N65" s="82">
        <v>16254.116731277287</v>
      </c>
      <c r="O65" s="95">
        <v>227987.73922247742</v>
      </c>
    </row>
    <row r="66" spans="1:15" x14ac:dyDescent="0.25">
      <c r="A66" s="215"/>
      <c r="B66" s="93" t="s">
        <v>86</v>
      </c>
      <c r="C66" s="94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82">
        <v>0</v>
      </c>
      <c r="K66" s="82">
        <v>0</v>
      </c>
      <c r="L66" s="82">
        <v>0</v>
      </c>
      <c r="M66" s="82">
        <v>0</v>
      </c>
      <c r="N66" s="82">
        <v>0</v>
      </c>
      <c r="O66" s="95">
        <v>0</v>
      </c>
    </row>
    <row r="67" spans="1:15" x14ac:dyDescent="0.25">
      <c r="A67" s="215"/>
      <c r="B67" s="93" t="s">
        <v>88</v>
      </c>
      <c r="C67" s="94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82">
        <v>0</v>
      </c>
      <c r="K67" s="82">
        <v>0</v>
      </c>
      <c r="L67" s="82">
        <v>0</v>
      </c>
      <c r="M67" s="82">
        <v>0</v>
      </c>
      <c r="N67" s="82">
        <v>0</v>
      </c>
      <c r="O67" s="95">
        <v>0</v>
      </c>
    </row>
    <row r="68" spans="1:15" x14ac:dyDescent="0.25">
      <c r="A68" s="83" t="s">
        <v>9</v>
      </c>
      <c r="B68" s="83" t="s">
        <v>69</v>
      </c>
      <c r="C68" s="90">
        <v>212.54010389949383</v>
      </c>
      <c r="D68" s="91">
        <v>220.56048517872</v>
      </c>
      <c r="E68" s="91">
        <v>184.4687694222022</v>
      </c>
      <c r="F68" s="91">
        <v>132.336291107232</v>
      </c>
      <c r="G68" s="91">
        <v>176.448388142976</v>
      </c>
      <c r="H68" s="91">
        <v>220.56048517872</v>
      </c>
      <c r="I68" s="91">
        <v>228.5808664579462</v>
      </c>
      <c r="J68" s="91">
        <v>224.57067581833309</v>
      </c>
      <c r="K68" s="91">
        <v>240.61143837678546</v>
      </c>
      <c r="L68" s="91">
        <v>192.48915070142837</v>
      </c>
      <c r="M68" s="91">
        <v>216.55029453910691</v>
      </c>
      <c r="N68" s="91">
        <v>220.56048517872</v>
      </c>
      <c r="O68" s="92">
        <v>2470.277434001664</v>
      </c>
    </row>
    <row r="69" spans="1:15" ht="13" x14ac:dyDescent="0.3">
      <c r="A69" s="215"/>
      <c r="B69" s="93" t="s">
        <v>25</v>
      </c>
      <c r="C69" s="229">
        <v>-127.69219734762157</v>
      </c>
      <c r="D69" s="230">
        <v>-132.51077083243752</v>
      </c>
      <c r="E69" s="230">
        <v>-110.82719015076592</v>
      </c>
      <c r="F69" s="230">
        <v>-79.506462499462515</v>
      </c>
      <c r="G69" s="230">
        <v>-106.00861666595</v>
      </c>
      <c r="H69" s="230">
        <v>-132.51077083243752</v>
      </c>
      <c r="I69" s="230">
        <v>-137.32934431725337</v>
      </c>
      <c r="J69" s="230">
        <v>-134.92005757484549</v>
      </c>
      <c r="K69" s="230">
        <v>-144.55720454447729</v>
      </c>
      <c r="L69" s="230">
        <v>-115.6457636355818</v>
      </c>
      <c r="M69" s="230">
        <v>-130.10148409002954</v>
      </c>
      <c r="N69" s="230">
        <v>-132.51077083243752</v>
      </c>
      <c r="O69" s="231">
        <v>-1484.1206333232999</v>
      </c>
    </row>
    <row r="70" spans="1:15" ht="13" x14ac:dyDescent="0.3">
      <c r="A70" s="215"/>
      <c r="B70" s="93" t="s">
        <v>26</v>
      </c>
      <c r="C70" s="229">
        <v>-10.468266027708964</v>
      </c>
      <c r="D70" s="230">
        <v>-10.863294934414963</v>
      </c>
      <c r="E70" s="230">
        <v>-9.0856648542379688</v>
      </c>
      <c r="F70" s="230">
        <v>-6.5179769606489772</v>
      </c>
      <c r="G70" s="230">
        <v>-8.6906359475319697</v>
      </c>
      <c r="H70" s="230">
        <v>-10.863294934414963</v>
      </c>
      <c r="I70" s="230">
        <v>-11.25832384112096</v>
      </c>
      <c r="J70" s="230">
        <v>-11.060809387767961</v>
      </c>
      <c r="K70" s="230">
        <v>-11.850867201179959</v>
      </c>
      <c r="L70" s="230">
        <v>-9.4806937609439661</v>
      </c>
      <c r="M70" s="230">
        <v>-10.665780481061963</v>
      </c>
      <c r="N70" s="230">
        <v>-10.863294934414963</v>
      </c>
      <c r="O70" s="231">
        <v>-121.66890326544757</v>
      </c>
    </row>
    <row r="71" spans="1:15" ht="13" x14ac:dyDescent="0.3">
      <c r="A71" s="215"/>
      <c r="B71" s="93" t="s">
        <v>27</v>
      </c>
      <c r="C71" s="229">
        <v>-138.16046337533055</v>
      </c>
      <c r="D71" s="230">
        <v>-143.37406576685248</v>
      </c>
      <c r="E71" s="230">
        <v>-119.91285500500388</v>
      </c>
      <c r="F71" s="230">
        <v>-86.024439460111495</v>
      </c>
      <c r="G71" s="230">
        <v>-114.69925261348197</v>
      </c>
      <c r="H71" s="230">
        <v>-143.37406576685248</v>
      </c>
      <c r="I71" s="230">
        <v>-148.58766815837433</v>
      </c>
      <c r="J71" s="230">
        <v>-145.98086696261345</v>
      </c>
      <c r="K71" s="230">
        <v>-156.40807174565725</v>
      </c>
      <c r="L71" s="230">
        <v>-125.12645739652577</v>
      </c>
      <c r="M71" s="230">
        <v>-140.76726457109152</v>
      </c>
      <c r="N71" s="230">
        <v>-143.37406576685248</v>
      </c>
      <c r="O71" s="231">
        <v>-1605.7895365887475</v>
      </c>
    </row>
    <row r="72" spans="1:15" x14ac:dyDescent="0.25">
      <c r="A72" s="215"/>
      <c r="B72" s="93" t="s">
        <v>48</v>
      </c>
      <c r="C72" s="94">
        <v>340.2323012471154</v>
      </c>
      <c r="D72" s="82">
        <v>353.07125601115752</v>
      </c>
      <c r="E72" s="82">
        <v>295.29595957296812</v>
      </c>
      <c r="F72" s="82">
        <v>211.84275360669452</v>
      </c>
      <c r="G72" s="82">
        <v>282.457004808926</v>
      </c>
      <c r="H72" s="82">
        <v>353.07125601115752</v>
      </c>
      <c r="I72" s="82">
        <v>365.91021077519957</v>
      </c>
      <c r="J72" s="82">
        <v>359.49073339317857</v>
      </c>
      <c r="K72" s="82">
        <v>385.16864292126274</v>
      </c>
      <c r="L72" s="82">
        <v>308.13491433701017</v>
      </c>
      <c r="M72" s="82">
        <v>346.65177862913646</v>
      </c>
      <c r="N72" s="82">
        <v>353.07125601115752</v>
      </c>
      <c r="O72" s="95">
        <v>3954.3980673249644</v>
      </c>
    </row>
    <row r="73" spans="1:15" x14ac:dyDescent="0.25">
      <c r="A73" s="215"/>
      <c r="B73" s="93" t="s">
        <v>86</v>
      </c>
      <c r="C73" s="94">
        <v>0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82">
        <v>0</v>
      </c>
      <c r="J73" s="82">
        <v>0</v>
      </c>
      <c r="K73" s="82">
        <v>0</v>
      </c>
      <c r="L73" s="82">
        <v>0</v>
      </c>
      <c r="M73" s="82">
        <v>0</v>
      </c>
      <c r="N73" s="82">
        <v>0</v>
      </c>
      <c r="O73" s="95">
        <v>0</v>
      </c>
    </row>
    <row r="74" spans="1:15" x14ac:dyDescent="0.25">
      <c r="A74" s="215"/>
      <c r="B74" s="93" t="s">
        <v>88</v>
      </c>
      <c r="C74" s="94">
        <v>0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95">
        <v>0</v>
      </c>
    </row>
    <row r="75" spans="1:15" x14ac:dyDescent="0.25">
      <c r="A75" s="83" t="s">
        <v>53</v>
      </c>
      <c r="B75" s="83" t="s">
        <v>69</v>
      </c>
      <c r="C75" s="90">
        <v>453.15154227627932</v>
      </c>
      <c r="D75" s="91">
        <v>433.10058907821383</v>
      </c>
      <c r="E75" s="91">
        <v>384.97830140285674</v>
      </c>
      <c r="F75" s="91">
        <v>364.92734820479131</v>
      </c>
      <c r="G75" s="91">
        <v>501.2738299516364</v>
      </c>
      <c r="H75" s="91">
        <v>669.70183681538617</v>
      </c>
      <c r="I75" s="91">
        <v>641.63050233809463</v>
      </c>
      <c r="J75" s="91">
        <v>725.84450576996949</v>
      </c>
      <c r="K75" s="91">
        <v>629.59993041925532</v>
      </c>
      <c r="L75" s="91">
        <v>473.20249547434474</v>
      </c>
      <c r="M75" s="91">
        <v>409.03944524053531</v>
      </c>
      <c r="N75" s="91">
        <v>397.008873321696</v>
      </c>
      <c r="O75" s="92">
        <v>6083.4592002930594</v>
      </c>
    </row>
    <row r="76" spans="1:15" x14ac:dyDescent="0.25">
      <c r="A76" s="215"/>
      <c r="B76" s="93" t="s">
        <v>25</v>
      </c>
      <c r="C76" s="94">
        <v>-272.24940189209883</v>
      </c>
      <c r="D76" s="82">
        <v>-260.20296818005909</v>
      </c>
      <c r="E76" s="82">
        <v>-231.2915272711636</v>
      </c>
      <c r="F76" s="82">
        <v>-219.2450935591238</v>
      </c>
      <c r="G76" s="82">
        <v>-301.16084280099432</v>
      </c>
      <c r="H76" s="82">
        <v>-402.35088598212849</v>
      </c>
      <c r="I76" s="82">
        <v>-385.48587878527269</v>
      </c>
      <c r="J76" s="82">
        <v>-436.08090037583986</v>
      </c>
      <c r="K76" s="82">
        <v>-378.25801855804889</v>
      </c>
      <c r="L76" s="82">
        <v>-284.29583560413863</v>
      </c>
      <c r="M76" s="82">
        <v>-245.74724772561137</v>
      </c>
      <c r="N76" s="82">
        <v>-238.51938749838746</v>
      </c>
      <c r="O76" s="95">
        <v>-3654.8879882328674</v>
      </c>
    </row>
    <row r="77" spans="1:15" x14ac:dyDescent="0.25">
      <c r="A77" s="215"/>
      <c r="B77" s="93" t="s">
        <v>26</v>
      </c>
      <c r="C77" s="94">
        <v>-22.319133228888919</v>
      </c>
      <c r="D77" s="82">
        <v>-21.331560962123927</v>
      </c>
      <c r="E77" s="82">
        <v>-18.961387521887932</v>
      </c>
      <c r="F77" s="82">
        <v>-17.973815255122936</v>
      </c>
      <c r="G77" s="82">
        <v>-24.689306669124914</v>
      </c>
      <c r="H77" s="82">
        <v>-32.984913709950888</v>
      </c>
      <c r="I77" s="82">
        <v>-31.602312536479889</v>
      </c>
      <c r="J77" s="82">
        <v>-35.750116056892871</v>
      </c>
      <c r="K77" s="82">
        <v>-31.009769176420889</v>
      </c>
      <c r="L77" s="82">
        <v>-23.306705495653919</v>
      </c>
      <c r="M77" s="82">
        <v>-20.146474242005926</v>
      </c>
      <c r="N77" s="82">
        <v>-19.553930881946933</v>
      </c>
      <c r="O77" s="95">
        <v>-299.62942573649997</v>
      </c>
    </row>
    <row r="78" spans="1:15" x14ac:dyDescent="0.25">
      <c r="A78" s="215"/>
      <c r="B78" s="93" t="s">
        <v>27</v>
      </c>
      <c r="C78" s="94">
        <v>-294.56853512098775</v>
      </c>
      <c r="D78" s="82">
        <v>-281.53452914218303</v>
      </c>
      <c r="E78" s="82">
        <v>-250.25291479305153</v>
      </c>
      <c r="F78" s="82">
        <v>-237.21890881424673</v>
      </c>
      <c r="G78" s="82">
        <v>-325.85014947011922</v>
      </c>
      <c r="H78" s="82">
        <v>-435.33579969207938</v>
      </c>
      <c r="I78" s="82">
        <v>-417.08819132175256</v>
      </c>
      <c r="J78" s="82">
        <v>-471.83101643273272</v>
      </c>
      <c r="K78" s="82">
        <v>-409.26778773446978</v>
      </c>
      <c r="L78" s="82">
        <v>-307.60254109979257</v>
      </c>
      <c r="M78" s="82">
        <v>-265.8937219676173</v>
      </c>
      <c r="N78" s="82">
        <v>-258.0733183803344</v>
      </c>
      <c r="O78" s="95">
        <v>-3954.5174139693677</v>
      </c>
    </row>
    <row r="79" spans="1:15" x14ac:dyDescent="0.25">
      <c r="A79" s="215"/>
      <c r="B79" s="93" t="s">
        <v>48</v>
      </c>
      <c r="C79" s="94">
        <v>725.40094416837815</v>
      </c>
      <c r="D79" s="82">
        <v>693.30355725827292</v>
      </c>
      <c r="E79" s="82">
        <v>616.26982867402035</v>
      </c>
      <c r="F79" s="82">
        <v>584.17244176391512</v>
      </c>
      <c r="G79" s="82">
        <v>802.43467275263072</v>
      </c>
      <c r="H79" s="82">
        <v>1072.0527227975147</v>
      </c>
      <c r="I79" s="82">
        <v>1027.1163811233673</v>
      </c>
      <c r="J79" s="82">
        <v>1161.9254061458093</v>
      </c>
      <c r="K79" s="82">
        <v>1007.8579489773042</v>
      </c>
      <c r="L79" s="82">
        <v>757.49833107848337</v>
      </c>
      <c r="M79" s="82">
        <v>654.78669296614669</v>
      </c>
      <c r="N79" s="82">
        <v>635.52826082008346</v>
      </c>
      <c r="O79" s="95">
        <v>9738.347188525926</v>
      </c>
    </row>
    <row r="80" spans="1:15" x14ac:dyDescent="0.25">
      <c r="A80" s="215"/>
      <c r="B80" s="93" t="s">
        <v>86</v>
      </c>
      <c r="C80" s="94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82">
        <v>0</v>
      </c>
      <c r="K80" s="82">
        <v>0</v>
      </c>
      <c r="L80" s="82">
        <v>0</v>
      </c>
      <c r="M80" s="82">
        <v>0</v>
      </c>
      <c r="N80" s="82">
        <v>0</v>
      </c>
      <c r="O80" s="95">
        <v>0</v>
      </c>
    </row>
    <row r="81" spans="1:15" x14ac:dyDescent="0.25">
      <c r="A81" s="215"/>
      <c r="B81" s="93" t="s">
        <v>88</v>
      </c>
      <c r="C81" s="94">
        <v>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82">
        <v>0</v>
      </c>
      <c r="J81" s="82">
        <v>0</v>
      </c>
      <c r="K81" s="82">
        <v>0</v>
      </c>
      <c r="L81" s="82">
        <v>0</v>
      </c>
      <c r="M81" s="82">
        <v>0</v>
      </c>
      <c r="N81" s="82">
        <v>0</v>
      </c>
      <c r="O81" s="95">
        <v>0</v>
      </c>
    </row>
    <row r="82" spans="1:15" x14ac:dyDescent="0.25">
      <c r="A82" s="83" t="s">
        <v>54</v>
      </c>
      <c r="B82" s="83" t="s">
        <v>69</v>
      </c>
      <c r="C82" s="90">
        <v>28.071334477291636</v>
      </c>
      <c r="D82" s="91">
        <v>40.101906396130914</v>
      </c>
      <c r="E82" s="91">
        <v>32.081525116904729</v>
      </c>
      <c r="F82" s="91">
        <v>32.081525116904729</v>
      </c>
      <c r="G82" s="91">
        <v>40.101906396130914</v>
      </c>
      <c r="H82" s="91">
        <v>48.122287675357093</v>
      </c>
      <c r="I82" s="91">
        <v>56.142668954583272</v>
      </c>
      <c r="J82" s="91">
        <v>52.132478314970186</v>
      </c>
      <c r="K82" s="91">
        <v>52.132478314970186</v>
      </c>
      <c r="L82" s="91">
        <v>44.112097035744</v>
      </c>
      <c r="M82" s="91">
        <v>28.071334477291636</v>
      </c>
      <c r="N82" s="91">
        <v>32.081525116904729</v>
      </c>
      <c r="O82" s="92">
        <v>485.233067393184</v>
      </c>
    </row>
    <row r="83" spans="1:15" x14ac:dyDescent="0.25">
      <c r="A83" s="215"/>
      <c r="B83" s="93" t="s">
        <v>25</v>
      </c>
      <c r="C83" s="94">
        <v>-16.865007196855686</v>
      </c>
      <c r="D83" s="82">
        <v>-24.092867424079543</v>
      </c>
      <c r="E83" s="82">
        <v>-19.274293939263636</v>
      </c>
      <c r="F83" s="82">
        <v>-19.274293939263636</v>
      </c>
      <c r="G83" s="82">
        <v>-24.092867424079543</v>
      </c>
      <c r="H83" s="82">
        <v>-28.91144090889545</v>
      </c>
      <c r="I83" s="82">
        <v>-33.730014393711372</v>
      </c>
      <c r="J83" s="82">
        <v>-31.3207276513034</v>
      </c>
      <c r="K83" s="82">
        <v>-31.3207276513034</v>
      </c>
      <c r="L83" s="82">
        <v>-26.5021541664875</v>
      </c>
      <c r="M83" s="82">
        <v>-16.865007196855686</v>
      </c>
      <c r="N83" s="82">
        <v>-19.274293939263636</v>
      </c>
      <c r="O83" s="95">
        <v>-291.52369583136249</v>
      </c>
    </row>
    <row r="84" spans="1:15" x14ac:dyDescent="0.25">
      <c r="A84" s="215"/>
      <c r="B84" s="93" t="s">
        <v>26</v>
      </c>
      <c r="C84" s="94">
        <v>-1.3826011734709951</v>
      </c>
      <c r="D84" s="82">
        <v>-1.9751445335299931</v>
      </c>
      <c r="E84" s="82">
        <v>-1.5801156268239944</v>
      </c>
      <c r="F84" s="82">
        <v>-1.5801156268239944</v>
      </c>
      <c r="G84" s="82">
        <v>-1.9751445335299931</v>
      </c>
      <c r="H84" s="82">
        <v>-2.3701734402359915</v>
      </c>
      <c r="I84" s="82">
        <v>-2.7652023469419902</v>
      </c>
      <c r="J84" s="82">
        <v>-2.5676878935889906</v>
      </c>
      <c r="K84" s="82">
        <v>-2.5676878935889906</v>
      </c>
      <c r="L84" s="82">
        <v>-2.1726589868829924</v>
      </c>
      <c r="M84" s="82">
        <v>-1.3826011734709951</v>
      </c>
      <c r="N84" s="82">
        <v>-1.5801156268239944</v>
      </c>
      <c r="O84" s="95">
        <v>-23.899248855712916</v>
      </c>
    </row>
    <row r="85" spans="1:15" x14ac:dyDescent="0.25">
      <c r="A85" s="215"/>
      <c r="B85" s="93" t="s">
        <v>27</v>
      </c>
      <c r="C85" s="94">
        <v>-18.247608370326681</v>
      </c>
      <c r="D85" s="82">
        <v>-26.068011957609535</v>
      </c>
      <c r="E85" s="82">
        <v>-20.854409566087629</v>
      </c>
      <c r="F85" s="82">
        <v>-20.854409566087629</v>
      </c>
      <c r="G85" s="82">
        <v>-26.068011957609535</v>
      </c>
      <c r="H85" s="82">
        <v>-31.281614349131441</v>
      </c>
      <c r="I85" s="82">
        <v>-36.495216740653362</v>
      </c>
      <c r="J85" s="82">
        <v>-33.888415544892389</v>
      </c>
      <c r="K85" s="82">
        <v>-33.888415544892389</v>
      </c>
      <c r="L85" s="82">
        <v>-28.674813153370494</v>
      </c>
      <c r="M85" s="82">
        <v>-18.247608370326681</v>
      </c>
      <c r="N85" s="82">
        <v>-20.854409566087629</v>
      </c>
      <c r="O85" s="95">
        <v>-315.42294468707541</v>
      </c>
    </row>
    <row r="86" spans="1:15" x14ac:dyDescent="0.25">
      <c r="A86" s="215"/>
      <c r="B86" s="93" t="s">
        <v>48</v>
      </c>
      <c r="C86" s="94">
        <v>44.936341674147322</v>
      </c>
      <c r="D86" s="82">
        <v>64.194773820210457</v>
      </c>
      <c r="E86" s="82">
        <v>51.355819056168365</v>
      </c>
      <c r="F86" s="82">
        <v>51.355819056168365</v>
      </c>
      <c r="G86" s="82">
        <v>64.194773820210457</v>
      </c>
      <c r="H86" s="82">
        <v>77.033728584252543</v>
      </c>
      <c r="I86" s="82">
        <v>89.872683348294643</v>
      </c>
      <c r="J86" s="82">
        <v>83.453205966273586</v>
      </c>
      <c r="K86" s="82">
        <v>83.453205966273586</v>
      </c>
      <c r="L86" s="82">
        <v>70.6142512022315</v>
      </c>
      <c r="M86" s="82">
        <v>44.936341674147322</v>
      </c>
      <c r="N86" s="82">
        <v>51.355819056168365</v>
      </c>
      <c r="O86" s="95">
        <v>776.75676322454649</v>
      </c>
    </row>
    <row r="87" spans="1:15" x14ac:dyDescent="0.25">
      <c r="A87" s="215"/>
      <c r="B87" s="93" t="s">
        <v>86</v>
      </c>
      <c r="C87" s="94">
        <v>0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82">
        <v>0</v>
      </c>
      <c r="K87" s="82">
        <v>0</v>
      </c>
      <c r="L87" s="82">
        <v>0</v>
      </c>
      <c r="M87" s="82">
        <v>0</v>
      </c>
      <c r="N87" s="82">
        <v>0</v>
      </c>
      <c r="O87" s="95">
        <v>0</v>
      </c>
    </row>
    <row r="88" spans="1:15" x14ac:dyDescent="0.25">
      <c r="A88" s="215"/>
      <c r="B88" s="93" t="s">
        <v>88</v>
      </c>
      <c r="C88" s="94">
        <v>0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82">
        <v>0</v>
      </c>
      <c r="J88" s="82">
        <v>0</v>
      </c>
      <c r="K88" s="82">
        <v>0</v>
      </c>
      <c r="L88" s="82">
        <v>0</v>
      </c>
      <c r="M88" s="82">
        <v>0</v>
      </c>
      <c r="N88" s="82">
        <v>0</v>
      </c>
      <c r="O88" s="95">
        <v>0</v>
      </c>
    </row>
    <row r="89" spans="1:15" x14ac:dyDescent="0.25">
      <c r="A89" s="83" t="s">
        <v>55</v>
      </c>
      <c r="B89" s="83" t="s">
        <v>69</v>
      </c>
      <c r="C89" s="90">
        <v>84.214003431874914</v>
      </c>
      <c r="D89" s="91">
        <v>84.214003431874914</v>
      </c>
      <c r="E89" s="91">
        <v>76.193622152648729</v>
      </c>
      <c r="F89" s="91">
        <v>84.214003431874914</v>
      </c>
      <c r="G89" s="91">
        <v>112.28533790916654</v>
      </c>
      <c r="H89" s="91">
        <v>148.37705366568437</v>
      </c>
      <c r="I89" s="91">
        <v>152.38724430529746</v>
      </c>
      <c r="J89" s="91">
        <v>160.40762558452366</v>
      </c>
      <c r="K89" s="91">
        <v>148.37705366568437</v>
      </c>
      <c r="L89" s="91">
        <v>120.30571918839273</v>
      </c>
      <c r="M89" s="91">
        <v>76.193622152648729</v>
      </c>
      <c r="N89" s="91">
        <v>80.203812792261829</v>
      </c>
      <c r="O89" s="92">
        <v>1327.373101711933</v>
      </c>
    </row>
    <row r="90" spans="1:15" x14ac:dyDescent="0.25">
      <c r="A90" s="215"/>
      <c r="B90" s="93" t="s">
        <v>25</v>
      </c>
      <c r="C90" s="94">
        <v>-50.595021590567029</v>
      </c>
      <c r="D90" s="82">
        <v>-50.595021590567029</v>
      </c>
      <c r="E90" s="82">
        <v>-45.776448105751143</v>
      </c>
      <c r="F90" s="82">
        <v>-50.595021590567029</v>
      </c>
      <c r="G90" s="82">
        <v>-67.460028787422743</v>
      </c>
      <c r="H90" s="82">
        <v>-89.143609469094315</v>
      </c>
      <c r="I90" s="82">
        <v>-91.552896211502286</v>
      </c>
      <c r="J90" s="82">
        <v>-96.371469696318172</v>
      </c>
      <c r="K90" s="82">
        <v>-89.143609469094315</v>
      </c>
      <c r="L90" s="82">
        <v>-72.278602272238643</v>
      </c>
      <c r="M90" s="82">
        <v>-45.776448105751143</v>
      </c>
      <c r="N90" s="82">
        <v>-48.185734848159086</v>
      </c>
      <c r="O90" s="95">
        <v>-797.47391173703306</v>
      </c>
    </row>
    <row r="91" spans="1:15" x14ac:dyDescent="0.25">
      <c r="A91" s="215"/>
      <c r="B91" s="93" t="s">
        <v>26</v>
      </c>
      <c r="C91" s="94">
        <v>-4.1478035204129853</v>
      </c>
      <c r="D91" s="82">
        <v>-4.1478035204129853</v>
      </c>
      <c r="E91" s="82">
        <v>-3.7527746137069871</v>
      </c>
      <c r="F91" s="82">
        <v>-4.1478035204129853</v>
      </c>
      <c r="G91" s="82">
        <v>-5.5304046938839804</v>
      </c>
      <c r="H91" s="82">
        <v>-7.3080347740609737</v>
      </c>
      <c r="I91" s="82">
        <v>-7.5055492274139741</v>
      </c>
      <c r="J91" s="82">
        <v>-7.9005781341199723</v>
      </c>
      <c r="K91" s="82">
        <v>-7.3080347740609737</v>
      </c>
      <c r="L91" s="82">
        <v>-5.9254336005899795</v>
      </c>
      <c r="M91" s="82">
        <v>-3.7527746137069871</v>
      </c>
      <c r="N91" s="82">
        <v>-3.9502890670599862</v>
      </c>
      <c r="O91" s="95">
        <v>-65.377284059842765</v>
      </c>
    </row>
    <row r="92" spans="1:15" x14ac:dyDescent="0.25">
      <c r="A92" s="215"/>
      <c r="B92" s="93" t="s">
        <v>27</v>
      </c>
      <c r="C92" s="94">
        <v>-54.742825110980014</v>
      </c>
      <c r="D92" s="82">
        <v>-54.742825110980014</v>
      </c>
      <c r="E92" s="82">
        <v>-49.529222719458133</v>
      </c>
      <c r="F92" s="82">
        <v>-54.742825110980014</v>
      </c>
      <c r="G92" s="82">
        <v>-72.990433481306724</v>
      </c>
      <c r="H92" s="82">
        <v>-96.451644243155286</v>
      </c>
      <c r="I92" s="82">
        <v>-99.058445438916266</v>
      </c>
      <c r="J92" s="82">
        <v>-104.27204783043814</v>
      </c>
      <c r="K92" s="82">
        <v>-96.451644243155286</v>
      </c>
      <c r="L92" s="82">
        <v>-78.204035872828626</v>
      </c>
      <c r="M92" s="82">
        <v>-49.529222719458133</v>
      </c>
      <c r="N92" s="82">
        <v>-52.13602391521907</v>
      </c>
      <c r="O92" s="95">
        <v>-862.8511957968758</v>
      </c>
    </row>
    <row r="93" spans="1:15" x14ac:dyDescent="0.25">
      <c r="A93" s="215"/>
      <c r="B93" s="93" t="s">
        <v>48</v>
      </c>
      <c r="C93" s="94">
        <v>134.80902502244194</v>
      </c>
      <c r="D93" s="82">
        <v>134.80902502244194</v>
      </c>
      <c r="E93" s="82">
        <v>121.97007025839987</v>
      </c>
      <c r="F93" s="82">
        <v>134.80902502244194</v>
      </c>
      <c r="G93" s="82">
        <v>179.74536669658929</v>
      </c>
      <c r="H93" s="82">
        <v>237.52066313477869</v>
      </c>
      <c r="I93" s="82">
        <v>243.94014051679974</v>
      </c>
      <c r="J93" s="82">
        <v>256.77909528084183</v>
      </c>
      <c r="K93" s="82">
        <v>237.52066313477869</v>
      </c>
      <c r="L93" s="82">
        <v>192.58432146063137</v>
      </c>
      <c r="M93" s="82">
        <v>121.97007025839987</v>
      </c>
      <c r="N93" s="82">
        <v>128.38954764042091</v>
      </c>
      <c r="O93" s="95">
        <v>2124.8470134489662</v>
      </c>
    </row>
    <row r="94" spans="1:15" x14ac:dyDescent="0.25">
      <c r="A94" s="215"/>
      <c r="B94" s="93" t="s">
        <v>86</v>
      </c>
      <c r="C94" s="94">
        <v>0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82">
        <v>0</v>
      </c>
      <c r="J94" s="82">
        <v>0</v>
      </c>
      <c r="K94" s="82">
        <v>0</v>
      </c>
      <c r="L94" s="82">
        <v>0</v>
      </c>
      <c r="M94" s="82">
        <v>0</v>
      </c>
      <c r="N94" s="82">
        <v>0</v>
      </c>
      <c r="O94" s="95">
        <v>0</v>
      </c>
    </row>
    <row r="95" spans="1:15" x14ac:dyDescent="0.25">
      <c r="A95" s="215"/>
      <c r="B95" s="93" t="s">
        <v>88</v>
      </c>
      <c r="C95" s="94">
        <v>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82">
        <v>0</v>
      </c>
      <c r="J95" s="82">
        <v>0</v>
      </c>
      <c r="K95" s="82">
        <v>0</v>
      </c>
      <c r="L95" s="82">
        <v>0</v>
      </c>
      <c r="M95" s="82">
        <v>0</v>
      </c>
      <c r="N95" s="82">
        <v>0</v>
      </c>
      <c r="O95" s="95">
        <v>0</v>
      </c>
    </row>
    <row r="96" spans="1:15" x14ac:dyDescent="0.25">
      <c r="A96" s="83" t="s">
        <v>56</v>
      </c>
      <c r="B96" s="83" t="s">
        <v>69</v>
      </c>
      <c r="C96" s="90">
        <v>144.36686302607129</v>
      </c>
      <c r="D96" s="91">
        <v>128.32610046761891</v>
      </c>
      <c r="E96" s="91">
        <v>128.32610046761891</v>
      </c>
      <c r="F96" s="91">
        <v>124.31590982800583</v>
      </c>
      <c r="G96" s="91">
        <v>152.38724430529746</v>
      </c>
      <c r="H96" s="91">
        <v>192.48915070142837</v>
      </c>
      <c r="I96" s="91">
        <v>196.49934134104146</v>
      </c>
      <c r="J96" s="91">
        <v>200.50953198065454</v>
      </c>
      <c r="K96" s="91">
        <v>188.47896006181529</v>
      </c>
      <c r="L96" s="91">
        <v>144.36686302607129</v>
      </c>
      <c r="M96" s="91">
        <v>104.26495662994037</v>
      </c>
      <c r="N96" s="91">
        <v>124.31590982800583</v>
      </c>
      <c r="O96" s="92">
        <v>1828.6469316635698</v>
      </c>
    </row>
    <row r="97" spans="1:15" x14ac:dyDescent="0.25">
      <c r="A97" s="215"/>
      <c r="B97" s="93" t="s">
        <v>25</v>
      </c>
      <c r="C97" s="94">
        <v>-86.734322726686344</v>
      </c>
      <c r="D97" s="82">
        <v>-77.097175757054544</v>
      </c>
      <c r="E97" s="82">
        <v>-77.097175757054544</v>
      </c>
      <c r="F97" s="82">
        <v>-74.687889014646572</v>
      </c>
      <c r="G97" s="82">
        <v>-91.552896211502286</v>
      </c>
      <c r="H97" s="82">
        <v>-115.6457636355818</v>
      </c>
      <c r="I97" s="82">
        <v>-118.05505037798977</v>
      </c>
      <c r="J97" s="82">
        <v>-120.46433712039774</v>
      </c>
      <c r="K97" s="82">
        <v>-113.23647689317383</v>
      </c>
      <c r="L97" s="82">
        <v>-86.734322726686344</v>
      </c>
      <c r="M97" s="82">
        <v>-62.641455302606801</v>
      </c>
      <c r="N97" s="82">
        <v>-74.687889014646572</v>
      </c>
      <c r="O97" s="95">
        <v>-1098.6347545380272</v>
      </c>
    </row>
    <row r="98" spans="1:15" x14ac:dyDescent="0.25">
      <c r="A98" s="215"/>
      <c r="B98" s="93" t="s">
        <v>26</v>
      </c>
      <c r="C98" s="94">
        <v>-7.110520320707975</v>
      </c>
      <c r="D98" s="82">
        <v>-6.3204625072959777</v>
      </c>
      <c r="E98" s="82">
        <v>-6.3204625072959777</v>
      </c>
      <c r="F98" s="82">
        <v>-6.1229480539429781</v>
      </c>
      <c r="G98" s="82">
        <v>-7.5055492274139741</v>
      </c>
      <c r="H98" s="82">
        <v>-9.4806937609439661</v>
      </c>
      <c r="I98" s="82">
        <v>-9.6782082142969657</v>
      </c>
      <c r="J98" s="82">
        <v>-9.8757226676499652</v>
      </c>
      <c r="K98" s="82">
        <v>-9.2831793075909665</v>
      </c>
      <c r="L98" s="82">
        <v>-7.110520320707975</v>
      </c>
      <c r="M98" s="82">
        <v>-5.1353757871779813</v>
      </c>
      <c r="N98" s="82">
        <v>-6.1229480539429781</v>
      </c>
      <c r="O98" s="95">
        <v>-90.066590728967682</v>
      </c>
    </row>
    <row r="99" spans="1:15" x14ac:dyDescent="0.25">
      <c r="A99" s="215"/>
      <c r="B99" s="93" t="s">
        <v>27</v>
      </c>
      <c r="C99" s="94">
        <v>-93.84484304739432</v>
      </c>
      <c r="D99" s="82">
        <v>-83.417638264350515</v>
      </c>
      <c r="E99" s="82">
        <v>-83.417638264350515</v>
      </c>
      <c r="F99" s="82">
        <v>-80.810837068589549</v>
      </c>
      <c r="G99" s="82">
        <v>-99.058445438916266</v>
      </c>
      <c r="H99" s="82">
        <v>-125.12645739652577</v>
      </c>
      <c r="I99" s="82">
        <v>-127.73325859228675</v>
      </c>
      <c r="J99" s="82">
        <v>-130.34005978804771</v>
      </c>
      <c r="K99" s="82">
        <v>-122.5196562007648</v>
      </c>
      <c r="L99" s="82">
        <v>-93.84484304739432</v>
      </c>
      <c r="M99" s="82">
        <v>-67.776831089784778</v>
      </c>
      <c r="N99" s="82">
        <v>-80.810837068589549</v>
      </c>
      <c r="O99" s="95">
        <v>-1188.7013452669948</v>
      </c>
    </row>
    <row r="100" spans="1:15" x14ac:dyDescent="0.25">
      <c r="A100" s="215"/>
      <c r="B100" s="93" t="s">
        <v>48</v>
      </c>
      <c r="C100" s="94">
        <v>231.10118575275763</v>
      </c>
      <c r="D100" s="82">
        <v>205.42327622467346</v>
      </c>
      <c r="E100" s="82">
        <v>205.42327622467346</v>
      </c>
      <c r="F100" s="82">
        <v>199.0037988426524</v>
      </c>
      <c r="G100" s="82">
        <v>243.94014051679974</v>
      </c>
      <c r="H100" s="82">
        <v>308.13491433701017</v>
      </c>
      <c r="I100" s="82">
        <v>314.55439171903123</v>
      </c>
      <c r="J100" s="82">
        <v>320.97386910105229</v>
      </c>
      <c r="K100" s="82">
        <v>301.71543695498912</v>
      </c>
      <c r="L100" s="82">
        <v>231.10118575275763</v>
      </c>
      <c r="M100" s="82">
        <v>166.90641193254717</v>
      </c>
      <c r="N100" s="82">
        <v>199.0037988426524</v>
      </c>
      <c r="O100" s="95">
        <v>2927.281686201597</v>
      </c>
    </row>
    <row r="101" spans="1:15" x14ac:dyDescent="0.25">
      <c r="A101" s="215"/>
      <c r="B101" s="93" t="s">
        <v>86</v>
      </c>
      <c r="C101" s="94">
        <v>0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82">
        <v>0</v>
      </c>
      <c r="J101" s="82">
        <v>0</v>
      </c>
      <c r="K101" s="82">
        <v>0</v>
      </c>
      <c r="L101" s="82">
        <v>0</v>
      </c>
      <c r="M101" s="82">
        <v>0</v>
      </c>
      <c r="N101" s="82">
        <v>0</v>
      </c>
      <c r="O101" s="95">
        <v>0</v>
      </c>
    </row>
    <row r="102" spans="1:15" x14ac:dyDescent="0.25">
      <c r="A102" s="215"/>
      <c r="B102" s="93" t="s">
        <v>88</v>
      </c>
      <c r="C102" s="94">
        <v>0</v>
      </c>
      <c r="D102" s="82">
        <v>0</v>
      </c>
      <c r="E102" s="82">
        <v>0</v>
      </c>
      <c r="F102" s="82">
        <v>0</v>
      </c>
      <c r="G102" s="82">
        <v>0</v>
      </c>
      <c r="H102" s="82">
        <v>0</v>
      </c>
      <c r="I102" s="82">
        <v>0</v>
      </c>
      <c r="J102" s="82">
        <v>0</v>
      </c>
      <c r="K102" s="82">
        <v>0</v>
      </c>
      <c r="L102" s="82">
        <v>0</v>
      </c>
      <c r="M102" s="82">
        <v>0</v>
      </c>
      <c r="N102" s="82">
        <v>0</v>
      </c>
      <c r="O102" s="95">
        <v>0</v>
      </c>
    </row>
    <row r="103" spans="1:15" x14ac:dyDescent="0.25">
      <c r="A103" s="83" t="s">
        <v>80</v>
      </c>
      <c r="B103" s="83" t="s">
        <v>69</v>
      </c>
      <c r="C103" s="90">
        <v>549.39611762699349</v>
      </c>
      <c r="D103" s="91">
        <v>529.345164428928</v>
      </c>
      <c r="E103" s="91">
        <v>593.50821466273749</v>
      </c>
      <c r="F103" s="91">
        <v>368.9375388444044</v>
      </c>
      <c r="G103" s="91">
        <v>417.05982651976149</v>
      </c>
      <c r="H103" s="91">
        <v>625.58973977964217</v>
      </c>
      <c r="I103" s="91">
        <v>621.57954914002914</v>
      </c>
      <c r="J103" s="91">
        <v>637.62031169848149</v>
      </c>
      <c r="K103" s="91">
        <v>577.46745210428514</v>
      </c>
      <c r="L103" s="91">
        <v>469.19230483473166</v>
      </c>
      <c r="M103" s="91">
        <v>537.36554570815417</v>
      </c>
      <c r="N103" s="91">
        <v>581.47764274389817</v>
      </c>
      <c r="O103" s="92">
        <v>6508.5394080920469</v>
      </c>
    </row>
    <row r="104" spans="1:15" x14ac:dyDescent="0.25">
      <c r="A104" s="215"/>
      <c r="B104" s="93" t="s">
        <v>25</v>
      </c>
      <c r="C104" s="94">
        <v>-330.0722837098898</v>
      </c>
      <c r="D104" s="82">
        <v>-318.02584999785006</v>
      </c>
      <c r="E104" s="82">
        <v>-356.57443787637726</v>
      </c>
      <c r="F104" s="82">
        <v>-221.65438030153183</v>
      </c>
      <c r="G104" s="82">
        <v>-250.5658212104272</v>
      </c>
      <c r="H104" s="82">
        <v>-375.84873181564092</v>
      </c>
      <c r="I104" s="82">
        <v>-373.43944507323295</v>
      </c>
      <c r="J104" s="82">
        <v>-383.07659204286472</v>
      </c>
      <c r="K104" s="82">
        <v>-346.93729090674537</v>
      </c>
      <c r="L104" s="82">
        <v>-281.88654886173072</v>
      </c>
      <c r="M104" s="82">
        <v>-322.84442348266589</v>
      </c>
      <c r="N104" s="82">
        <v>-349.34657764915346</v>
      </c>
      <c r="O104" s="95">
        <v>-3910.2723829281108</v>
      </c>
    </row>
    <row r="105" spans="1:15" x14ac:dyDescent="0.25">
      <c r="A105" s="215"/>
      <c r="B105" s="93" t="s">
        <v>26</v>
      </c>
      <c r="C105" s="94">
        <v>-27.059480109360905</v>
      </c>
      <c r="D105" s="82">
        <v>-26.071907842595909</v>
      </c>
      <c r="E105" s="82">
        <v>-29.232139096243895</v>
      </c>
      <c r="F105" s="82">
        <v>-18.171329708475938</v>
      </c>
      <c r="G105" s="82">
        <v>-20.541503148711925</v>
      </c>
      <c r="H105" s="82">
        <v>-30.812254723067895</v>
      </c>
      <c r="I105" s="82">
        <v>-30.614740269714893</v>
      </c>
      <c r="J105" s="82">
        <v>-31.404798083126888</v>
      </c>
      <c r="K105" s="82">
        <v>-28.4420812828319</v>
      </c>
      <c r="L105" s="82">
        <v>-23.109191042300921</v>
      </c>
      <c r="M105" s="82">
        <v>-26.466936749301908</v>
      </c>
      <c r="N105" s="82">
        <v>-28.639595736184901</v>
      </c>
      <c r="O105" s="95">
        <v>-320.56595779191787</v>
      </c>
    </row>
    <row r="106" spans="1:15" x14ac:dyDescent="0.25">
      <c r="A106" s="215"/>
      <c r="B106" s="93" t="s">
        <v>27</v>
      </c>
      <c r="C106" s="94">
        <v>-357.13176381925069</v>
      </c>
      <c r="D106" s="82">
        <v>-344.09775784044598</v>
      </c>
      <c r="E106" s="82">
        <v>-385.80657697262114</v>
      </c>
      <c r="F106" s="82">
        <v>-239.82571001000775</v>
      </c>
      <c r="G106" s="82">
        <v>-271.10732435913911</v>
      </c>
      <c r="H106" s="82">
        <v>-406.66098653870881</v>
      </c>
      <c r="I106" s="82">
        <v>-404.05418534294785</v>
      </c>
      <c r="J106" s="82">
        <v>-414.4813901259916</v>
      </c>
      <c r="K106" s="82">
        <v>-375.37937218957728</v>
      </c>
      <c r="L106" s="82">
        <v>-304.99573990403167</v>
      </c>
      <c r="M106" s="82">
        <v>-349.3113602319678</v>
      </c>
      <c r="N106" s="82">
        <v>-377.98617338533836</v>
      </c>
      <c r="O106" s="95">
        <v>-4230.8383407200281</v>
      </c>
    </row>
    <row r="107" spans="1:15" x14ac:dyDescent="0.25">
      <c r="A107" s="215"/>
      <c r="B107" s="93" t="s">
        <v>48</v>
      </c>
      <c r="C107" s="94">
        <v>879.46840133688329</v>
      </c>
      <c r="D107" s="82">
        <v>847.37101442677806</v>
      </c>
      <c r="E107" s="82">
        <v>950.08265253911475</v>
      </c>
      <c r="F107" s="82">
        <v>590.59191914593623</v>
      </c>
      <c r="G107" s="82">
        <v>667.62564773018869</v>
      </c>
      <c r="H107" s="82">
        <v>1001.4384715952831</v>
      </c>
      <c r="I107" s="82">
        <v>995.01899421326209</v>
      </c>
      <c r="J107" s="82">
        <v>1020.6969037413462</v>
      </c>
      <c r="K107" s="82">
        <v>924.40474301103052</v>
      </c>
      <c r="L107" s="82">
        <v>751.07885369646237</v>
      </c>
      <c r="M107" s="82">
        <v>860.20996919082006</v>
      </c>
      <c r="N107" s="82">
        <v>930.82422039305163</v>
      </c>
      <c r="O107" s="95">
        <v>10418.811791020156</v>
      </c>
    </row>
    <row r="108" spans="1:15" x14ac:dyDescent="0.25">
      <c r="A108" s="215"/>
      <c r="B108" s="93" t="s">
        <v>86</v>
      </c>
      <c r="C108" s="94">
        <v>0</v>
      </c>
      <c r="D108" s="82">
        <v>0</v>
      </c>
      <c r="E108" s="82">
        <v>0</v>
      </c>
      <c r="F108" s="82">
        <v>0</v>
      </c>
      <c r="G108" s="82">
        <v>0</v>
      </c>
      <c r="H108" s="82">
        <v>0</v>
      </c>
      <c r="I108" s="82">
        <v>0</v>
      </c>
      <c r="J108" s="82">
        <v>0</v>
      </c>
      <c r="K108" s="82">
        <v>0</v>
      </c>
      <c r="L108" s="82">
        <v>0</v>
      </c>
      <c r="M108" s="82">
        <v>0</v>
      </c>
      <c r="N108" s="82">
        <v>0</v>
      </c>
      <c r="O108" s="95">
        <v>0</v>
      </c>
    </row>
    <row r="109" spans="1:15" x14ac:dyDescent="0.25">
      <c r="A109" s="215"/>
      <c r="B109" s="93" t="s">
        <v>88</v>
      </c>
      <c r="C109" s="94">
        <v>0</v>
      </c>
      <c r="D109" s="82">
        <v>0</v>
      </c>
      <c r="E109" s="82">
        <v>0</v>
      </c>
      <c r="F109" s="82">
        <v>0</v>
      </c>
      <c r="G109" s="82">
        <v>0</v>
      </c>
      <c r="H109" s="82">
        <v>0</v>
      </c>
      <c r="I109" s="82">
        <v>0</v>
      </c>
      <c r="J109" s="82">
        <v>0</v>
      </c>
      <c r="K109" s="82">
        <v>0</v>
      </c>
      <c r="L109" s="82">
        <v>0</v>
      </c>
      <c r="M109" s="82">
        <v>0</v>
      </c>
      <c r="N109" s="82">
        <v>0</v>
      </c>
      <c r="O109" s="95">
        <v>0</v>
      </c>
    </row>
    <row r="110" spans="1:15" x14ac:dyDescent="0.25">
      <c r="A110" s="83" t="s">
        <v>82</v>
      </c>
      <c r="B110" s="83" t="s">
        <v>69</v>
      </c>
      <c r="C110" s="90">
        <v>176.448388142976</v>
      </c>
      <c r="D110" s="91">
        <v>168.42800686374983</v>
      </c>
      <c r="E110" s="91">
        <v>148.37705366568437</v>
      </c>
      <c r="F110" s="91">
        <v>108.27514726955346</v>
      </c>
      <c r="G110" s="91">
        <v>168.42800686374983</v>
      </c>
      <c r="H110" s="91">
        <v>224.57067581833309</v>
      </c>
      <c r="I110" s="91">
        <v>216.55029453910691</v>
      </c>
      <c r="J110" s="91">
        <v>236.60124773717237</v>
      </c>
      <c r="K110" s="91">
        <v>216.55029453910691</v>
      </c>
      <c r="L110" s="91">
        <v>148.37705366568437</v>
      </c>
      <c r="M110" s="91">
        <v>152.38724430529746</v>
      </c>
      <c r="N110" s="91">
        <v>140.3566723864582</v>
      </c>
      <c r="O110" s="92">
        <v>2105.3500857968729</v>
      </c>
    </row>
    <row r="111" spans="1:15" x14ac:dyDescent="0.25">
      <c r="A111" s="215"/>
      <c r="B111" s="93" t="s">
        <v>25</v>
      </c>
      <c r="C111" s="94">
        <v>-106.00861666595</v>
      </c>
      <c r="D111" s="82">
        <v>-101.19004318113406</v>
      </c>
      <c r="E111" s="82">
        <v>-89.143609469094315</v>
      </c>
      <c r="F111" s="82">
        <v>-65.050742045014772</v>
      </c>
      <c r="G111" s="82">
        <v>-101.19004318113406</v>
      </c>
      <c r="H111" s="82">
        <v>-134.92005757484549</v>
      </c>
      <c r="I111" s="82">
        <v>-130.10148409002954</v>
      </c>
      <c r="J111" s="82">
        <v>-142.14791780206932</v>
      </c>
      <c r="K111" s="82">
        <v>-130.10148409002954</v>
      </c>
      <c r="L111" s="82">
        <v>-89.143609469094315</v>
      </c>
      <c r="M111" s="82">
        <v>-91.552896211502286</v>
      </c>
      <c r="N111" s="82">
        <v>-84.325035984278401</v>
      </c>
      <c r="O111" s="95">
        <v>-1264.875539764176</v>
      </c>
    </row>
    <row r="112" spans="1:15" x14ac:dyDescent="0.25">
      <c r="A112" s="215"/>
      <c r="B112" s="93" t="s">
        <v>26</v>
      </c>
      <c r="C112" s="94">
        <v>-8.6906359475319697</v>
      </c>
      <c r="D112" s="82">
        <v>-8.2956070408259706</v>
      </c>
      <c r="E112" s="82">
        <v>-7.3080347740609737</v>
      </c>
      <c r="F112" s="82">
        <v>-5.3328902405309817</v>
      </c>
      <c r="G112" s="82">
        <v>-8.2956070408259706</v>
      </c>
      <c r="H112" s="82">
        <v>-11.060809387767961</v>
      </c>
      <c r="I112" s="82">
        <v>-10.665780481061963</v>
      </c>
      <c r="J112" s="82">
        <v>-11.653352747826959</v>
      </c>
      <c r="K112" s="82">
        <v>-10.665780481061963</v>
      </c>
      <c r="L112" s="82">
        <v>-7.3080347740609737</v>
      </c>
      <c r="M112" s="82">
        <v>-7.5055492274139741</v>
      </c>
      <c r="N112" s="82">
        <v>-6.9130058673549755</v>
      </c>
      <c r="O112" s="95">
        <v>-103.69508801032464</v>
      </c>
    </row>
    <row r="113" spans="1:15" x14ac:dyDescent="0.25">
      <c r="A113" s="215"/>
      <c r="B113" s="93" t="s">
        <v>27</v>
      </c>
      <c r="C113" s="94">
        <v>-114.69925261348197</v>
      </c>
      <c r="D113" s="82">
        <v>-109.48565022196003</v>
      </c>
      <c r="E113" s="82">
        <v>-96.451644243155286</v>
      </c>
      <c r="F113" s="82">
        <v>-70.383632285545758</v>
      </c>
      <c r="G113" s="82">
        <v>-109.48565022196003</v>
      </c>
      <c r="H113" s="82">
        <v>-145.98086696261345</v>
      </c>
      <c r="I113" s="82">
        <v>-140.76726457109152</v>
      </c>
      <c r="J113" s="82">
        <v>-153.80127054989629</v>
      </c>
      <c r="K113" s="82">
        <v>-140.76726457109152</v>
      </c>
      <c r="L113" s="82">
        <v>-96.451644243155286</v>
      </c>
      <c r="M113" s="82">
        <v>-99.058445438916266</v>
      </c>
      <c r="N113" s="82">
        <v>-91.238041851633369</v>
      </c>
      <c r="O113" s="95">
        <v>-1368.570627774501</v>
      </c>
    </row>
    <row r="114" spans="1:15" x14ac:dyDescent="0.25">
      <c r="A114" s="215"/>
      <c r="B114" s="93" t="s">
        <v>48</v>
      </c>
      <c r="C114" s="94">
        <v>282.457004808926</v>
      </c>
      <c r="D114" s="82">
        <v>269.61805004488389</v>
      </c>
      <c r="E114" s="82">
        <v>237.52066313477869</v>
      </c>
      <c r="F114" s="82">
        <v>173.32588931456823</v>
      </c>
      <c r="G114" s="82">
        <v>269.61805004488389</v>
      </c>
      <c r="H114" s="82">
        <v>359.49073339317857</v>
      </c>
      <c r="I114" s="82">
        <v>346.65177862913646</v>
      </c>
      <c r="J114" s="82">
        <v>378.74916553924169</v>
      </c>
      <c r="K114" s="82">
        <v>346.65177862913646</v>
      </c>
      <c r="L114" s="82">
        <v>237.52066313477869</v>
      </c>
      <c r="M114" s="82">
        <v>243.94014051679974</v>
      </c>
      <c r="N114" s="82">
        <v>224.6817083707366</v>
      </c>
      <c r="O114" s="95">
        <v>3370.2256255610487</v>
      </c>
    </row>
    <row r="115" spans="1:15" x14ac:dyDescent="0.25">
      <c r="A115" s="215"/>
      <c r="B115" s="93" t="s">
        <v>86</v>
      </c>
      <c r="C115" s="94">
        <v>0</v>
      </c>
      <c r="D115" s="82">
        <v>0</v>
      </c>
      <c r="E115" s="82">
        <v>0</v>
      </c>
      <c r="F115" s="82">
        <v>0</v>
      </c>
      <c r="G115" s="82">
        <v>0</v>
      </c>
      <c r="H115" s="82">
        <v>0</v>
      </c>
      <c r="I115" s="82">
        <v>0</v>
      </c>
      <c r="J115" s="82">
        <v>0</v>
      </c>
      <c r="K115" s="82">
        <v>0</v>
      </c>
      <c r="L115" s="82">
        <v>0</v>
      </c>
      <c r="M115" s="82">
        <v>0</v>
      </c>
      <c r="N115" s="82">
        <v>0</v>
      </c>
      <c r="O115" s="95">
        <v>0</v>
      </c>
    </row>
    <row r="116" spans="1:15" x14ac:dyDescent="0.25">
      <c r="A116" s="215"/>
      <c r="B116" s="93" t="s">
        <v>88</v>
      </c>
      <c r="C116" s="94">
        <v>0</v>
      </c>
      <c r="D116" s="82">
        <v>0</v>
      </c>
      <c r="E116" s="82">
        <v>0</v>
      </c>
      <c r="F116" s="82">
        <v>0</v>
      </c>
      <c r="G116" s="82">
        <v>0</v>
      </c>
      <c r="H116" s="82">
        <v>0</v>
      </c>
      <c r="I116" s="82">
        <v>0</v>
      </c>
      <c r="J116" s="82">
        <v>0</v>
      </c>
      <c r="K116" s="82">
        <v>0</v>
      </c>
      <c r="L116" s="82">
        <v>0</v>
      </c>
      <c r="M116" s="82">
        <v>0</v>
      </c>
      <c r="N116" s="82">
        <v>0</v>
      </c>
      <c r="O116" s="95">
        <v>0</v>
      </c>
    </row>
    <row r="117" spans="1:15" x14ac:dyDescent="0.25">
      <c r="A117" s="83" t="s">
        <v>70</v>
      </c>
      <c r="B117" s="84"/>
      <c r="C117" s="90">
        <v>32085.535307544342</v>
      </c>
      <c r="D117" s="91">
        <v>31808.832153411044</v>
      </c>
      <c r="E117" s="91">
        <v>29041.800612078012</v>
      </c>
      <c r="F117" s="91">
        <v>25969.994582134379</v>
      </c>
      <c r="G117" s="91">
        <v>32719.145428603206</v>
      </c>
      <c r="H117" s="91">
        <v>41681.921508138468</v>
      </c>
      <c r="I117" s="91">
        <v>41232.780156501794</v>
      </c>
      <c r="J117" s="91">
        <v>44196.311039175875</v>
      </c>
      <c r="K117" s="91">
        <v>40779.628614225512</v>
      </c>
      <c r="L117" s="91">
        <v>32053.453782427438</v>
      </c>
      <c r="M117" s="91">
        <v>29041.800612078001</v>
      </c>
      <c r="N117" s="91">
        <v>29142.055378068329</v>
      </c>
      <c r="O117" s="92">
        <v>409753.25917438639</v>
      </c>
    </row>
    <row r="118" spans="1:15" ht="13" x14ac:dyDescent="0.3">
      <c r="A118" s="83" t="s">
        <v>28</v>
      </c>
      <c r="B118" s="84"/>
      <c r="C118" s="232">
        <v>-19276.703226006044</v>
      </c>
      <c r="D118" s="233">
        <v>-19110.462440779898</v>
      </c>
      <c r="E118" s="233">
        <v>-17448.054588518407</v>
      </c>
      <c r="F118" s="233">
        <v>-15602.540943833914</v>
      </c>
      <c r="G118" s="233">
        <v>-19657.370531306497</v>
      </c>
      <c r="H118" s="233">
        <v>-25042.126400588277</v>
      </c>
      <c r="I118" s="233">
        <v>-24772.286285438586</v>
      </c>
      <c r="J118" s="233">
        <v>-26552.749188078069</v>
      </c>
      <c r="K118" s="233">
        <v>-24500.036883546487</v>
      </c>
      <c r="L118" s="233">
        <v>-19257.428932066778</v>
      </c>
      <c r="M118" s="233">
        <v>-17448.054588518407</v>
      </c>
      <c r="N118" s="233">
        <v>-17508.286757078604</v>
      </c>
      <c r="O118" s="234">
        <v>-246176.10076575997</v>
      </c>
    </row>
    <row r="119" spans="1:15" ht="13" x14ac:dyDescent="0.3">
      <c r="A119" s="83" t="s">
        <v>29</v>
      </c>
      <c r="B119" s="84"/>
      <c r="C119" s="232">
        <v>-1580.3131412773473</v>
      </c>
      <c r="D119" s="233">
        <v>-1566.6846439959902</v>
      </c>
      <c r="E119" s="233">
        <v>-1430.3996711824213</v>
      </c>
      <c r="F119" s="233">
        <v>-1279.1035999140233</v>
      </c>
      <c r="G119" s="233">
        <v>-1611.5204249071214</v>
      </c>
      <c r="H119" s="233">
        <v>-2052.9652281510748</v>
      </c>
      <c r="I119" s="233">
        <v>-2030.8436093755392</v>
      </c>
      <c r="J119" s="233">
        <v>-2176.8067904034051</v>
      </c>
      <c r="K119" s="233">
        <v>-2008.5244761466499</v>
      </c>
      <c r="L119" s="233">
        <v>-1578.7330256505234</v>
      </c>
      <c r="M119" s="233">
        <v>-1430.3996711824209</v>
      </c>
      <c r="N119" s="233">
        <v>-1435.3375325162456</v>
      </c>
      <c r="O119" s="234">
        <v>-20181.631814702767</v>
      </c>
    </row>
    <row r="120" spans="1:15" ht="13" x14ac:dyDescent="0.3">
      <c r="A120" s="83" t="s">
        <v>30</v>
      </c>
      <c r="B120" s="84"/>
      <c r="C120" s="232">
        <v>-20857.016367283391</v>
      </c>
      <c r="D120" s="233">
        <v>-20677.14708477589</v>
      </c>
      <c r="E120" s="233">
        <v>-18878.454259700826</v>
      </c>
      <c r="F120" s="233">
        <v>-16881.644543747941</v>
      </c>
      <c r="G120" s="233">
        <v>-21268.890956213618</v>
      </c>
      <c r="H120" s="233">
        <v>-27095.091628739359</v>
      </c>
      <c r="I120" s="233">
        <v>-26803.12989481413</v>
      </c>
      <c r="J120" s="233">
        <v>-28729.555978481472</v>
      </c>
      <c r="K120" s="233">
        <v>-26508.561359693143</v>
      </c>
      <c r="L120" s="233">
        <v>-20836.161957717308</v>
      </c>
      <c r="M120" s="233">
        <v>-18878.454259700829</v>
      </c>
      <c r="N120" s="233">
        <v>-18943.624289594856</v>
      </c>
      <c r="O120" s="234">
        <v>-266357.73258046276</v>
      </c>
    </row>
    <row r="121" spans="1:15" x14ac:dyDescent="0.25">
      <c r="A121" s="83" t="s">
        <v>60</v>
      </c>
      <c r="B121" s="84"/>
      <c r="C121" s="90">
        <v>51362.238533550379</v>
      </c>
      <c r="D121" s="91">
        <v>50919.294594190927</v>
      </c>
      <c r="E121" s="91">
        <v>46489.855200596416</v>
      </c>
      <c r="F121" s="91">
        <v>41572.535525968291</v>
      </c>
      <c r="G121" s="91">
        <v>52376.515959909695</v>
      </c>
      <c r="H121" s="91">
        <v>66724.047908726745</v>
      </c>
      <c r="I121" s="91">
        <v>66005.066441940391</v>
      </c>
      <c r="J121" s="91">
        <v>70749.060227253955</v>
      </c>
      <c r="K121" s="91">
        <v>65279.66549777201</v>
      </c>
      <c r="L121" s="91">
        <v>51310.882714494212</v>
      </c>
      <c r="M121" s="91">
        <v>46489.855200596423</v>
      </c>
      <c r="N121" s="91">
        <v>46650.342135146937</v>
      </c>
      <c r="O121" s="92">
        <v>655929.35994014645</v>
      </c>
    </row>
    <row r="122" spans="1:15" x14ac:dyDescent="0.25">
      <c r="A122" s="83" t="s">
        <v>87</v>
      </c>
      <c r="B122" s="84"/>
      <c r="C122" s="90">
        <v>0</v>
      </c>
      <c r="D122" s="91">
        <v>0</v>
      </c>
      <c r="E122" s="91">
        <v>0</v>
      </c>
      <c r="F122" s="91">
        <v>0</v>
      </c>
      <c r="G122" s="91">
        <v>0</v>
      </c>
      <c r="H122" s="91">
        <v>0</v>
      </c>
      <c r="I122" s="91">
        <v>0</v>
      </c>
      <c r="J122" s="91">
        <v>0</v>
      </c>
      <c r="K122" s="91">
        <v>0</v>
      </c>
      <c r="L122" s="91">
        <v>0</v>
      </c>
      <c r="M122" s="91">
        <v>0</v>
      </c>
      <c r="N122" s="91">
        <v>0</v>
      </c>
      <c r="O122" s="92">
        <v>0</v>
      </c>
    </row>
    <row r="123" spans="1:15" x14ac:dyDescent="0.25">
      <c r="A123" s="96" t="s">
        <v>89</v>
      </c>
      <c r="B123" s="216"/>
      <c r="C123" s="97">
        <v>0</v>
      </c>
      <c r="D123" s="98">
        <v>0</v>
      </c>
      <c r="E123" s="98">
        <v>0</v>
      </c>
      <c r="F123" s="98">
        <v>0</v>
      </c>
      <c r="G123" s="98">
        <v>0</v>
      </c>
      <c r="H123" s="98">
        <v>0</v>
      </c>
      <c r="I123" s="98">
        <v>0</v>
      </c>
      <c r="J123" s="98">
        <v>0</v>
      </c>
      <c r="K123" s="98">
        <v>0</v>
      </c>
      <c r="L123" s="98">
        <v>0</v>
      </c>
      <c r="M123" s="98">
        <v>0</v>
      </c>
      <c r="N123" s="98">
        <v>0</v>
      </c>
      <c r="O123" s="99">
        <v>0</v>
      </c>
    </row>
  </sheetData>
  <phoneticPr fontId="6" type="noConversion"/>
  <pageMargins left="0.5" right="0.5" top="0.73" bottom="0.98" header="0.5" footer="0.5"/>
  <pageSetup scale="53" fitToHeight="0" orientation="landscape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zoomScale="80" zoomScaleNormal="80" zoomScaleSheetLayoutView="100" workbookViewId="0">
      <selection activeCell="O14" sqref="O14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47" customWidth="1"/>
    <col min="5" max="5" width="24.26953125" style="1" customWidth="1"/>
    <col min="6" max="6" width="7.7265625" style="147" customWidth="1"/>
    <col min="7" max="7" width="7.453125" style="147" bestFit="1" customWidth="1"/>
    <col min="8" max="8" width="11.1796875" style="147" bestFit="1" customWidth="1"/>
    <col min="9" max="9" width="11.26953125" style="148" customWidth="1"/>
    <col min="10" max="10" width="14.81640625" style="147" bestFit="1" customWidth="1"/>
    <col min="11" max="11" width="14.81640625" style="149" bestFit="1" customWidth="1"/>
    <col min="12" max="12" width="14.7265625" style="147" customWidth="1"/>
    <col min="13" max="13" width="13.453125" style="110" bestFit="1" customWidth="1"/>
    <col min="14" max="15" width="13.453125" style="110" customWidth="1"/>
    <col min="16" max="16" width="14.81640625" style="110" bestFit="1" customWidth="1"/>
    <col min="17" max="17" width="13.453125" style="110" customWidth="1"/>
    <col min="18" max="18" width="15.54296875" style="214" customWidth="1"/>
    <col min="19" max="16384" width="8.7265625" style="1"/>
  </cols>
  <sheetData>
    <row r="1" spans="2:19" ht="21.5" x14ac:dyDescent="0.3">
      <c r="B1" s="10" t="s">
        <v>94</v>
      </c>
      <c r="C1" s="100"/>
      <c r="D1" s="101"/>
      <c r="E1" s="100"/>
      <c r="F1" s="102" t="s">
        <v>12</v>
      </c>
      <c r="G1" s="103"/>
      <c r="H1" s="104"/>
      <c r="I1" s="105"/>
      <c r="J1" s="219" t="str">
        <f>"True-Up ARR
(CY"&amp;R1&amp;")"</f>
        <v>True-Up ARR
(CY2023)</v>
      </c>
      <c r="K1" s="219" t="str">
        <f>"Projected ARR
(Jan'"&amp;RIGHT(R$1,2)&amp;" - Dec'"&amp;RIGHT(R$1,2)&amp;")"</f>
        <v>Projected ARR
(Jan'23 - Dec'23)</v>
      </c>
      <c r="L1" s="106" t="s">
        <v>44</v>
      </c>
      <c r="M1" s="107"/>
      <c r="N1" s="50"/>
      <c r="O1" s="50"/>
      <c r="P1" s="50"/>
      <c r="Q1" s="50"/>
      <c r="R1" s="108">
        <v>2023</v>
      </c>
      <c r="S1" s="2"/>
    </row>
    <row r="2" spans="2:19" ht="13" x14ac:dyDescent="0.3">
      <c r="B2" s="10" t="s">
        <v>51</v>
      </c>
      <c r="C2" s="100"/>
      <c r="D2" s="101"/>
      <c r="E2" s="100"/>
      <c r="F2" s="109">
        <v>1</v>
      </c>
      <c r="G2" s="236"/>
      <c r="H2" s="236"/>
      <c r="I2" s="111" t="s">
        <v>6</v>
      </c>
      <c r="J2" s="112">
        <v>409753.25917438645</v>
      </c>
      <c r="K2" s="112">
        <v>702470.57095979899</v>
      </c>
      <c r="L2" s="226"/>
      <c r="M2" s="114"/>
      <c r="N2" s="50"/>
      <c r="O2" s="50"/>
      <c r="P2" s="50"/>
      <c r="Q2" s="50"/>
      <c r="R2" s="1"/>
    </row>
    <row r="3" spans="2:19" ht="13" x14ac:dyDescent="0.3">
      <c r="B3" s="10" t="str">
        <f>"for CY"&amp;R1&amp;" SPP Network Transmission Service"</f>
        <v>for CY2023 SPP Network Transmission Service</v>
      </c>
      <c r="C3" s="100"/>
      <c r="D3" s="101"/>
      <c r="E3" s="100"/>
      <c r="F3" s="109"/>
      <c r="G3" s="236"/>
      <c r="H3" s="236"/>
      <c r="I3" s="111" t="s">
        <v>10</v>
      </c>
      <c r="J3" s="115">
        <v>4.0101906396130911</v>
      </c>
      <c r="K3" s="115">
        <v>6.4194773820210456</v>
      </c>
      <c r="L3" s="136" t="str">
        <f>"Inv. Jan-Dec'"&amp;RIGHT(R1,2)</f>
        <v>Inv. Jan-Dec'23</v>
      </c>
      <c r="M3" s="114"/>
      <c r="N3" s="50"/>
      <c r="O3" s="50"/>
      <c r="P3" s="50"/>
      <c r="Q3" s="50"/>
      <c r="R3" s="1"/>
    </row>
    <row r="4" spans="2:19" ht="13" x14ac:dyDescent="0.3">
      <c r="B4" s="9"/>
      <c r="C4" s="100"/>
      <c r="D4" s="101"/>
      <c r="E4" s="100"/>
      <c r="F4" s="109"/>
      <c r="G4" s="110"/>
      <c r="H4" s="110"/>
      <c r="I4" s="49"/>
      <c r="J4" s="110"/>
      <c r="K4" s="116"/>
      <c r="L4" s="110"/>
      <c r="M4" s="117"/>
      <c r="R4" s="1"/>
    </row>
    <row r="5" spans="2:19" ht="13" x14ac:dyDescent="0.3">
      <c r="B5" s="9"/>
      <c r="C5" s="100"/>
      <c r="D5" s="101"/>
      <c r="E5" s="100"/>
      <c r="F5" s="109"/>
      <c r="G5" s="110"/>
      <c r="H5" s="110"/>
      <c r="I5" s="111"/>
      <c r="J5" s="110"/>
      <c r="K5" s="112">
        <v>0</v>
      </c>
      <c r="L5" s="217"/>
      <c r="M5" s="118"/>
      <c r="N5" s="119"/>
      <c r="O5" s="119"/>
      <c r="P5" s="119"/>
      <c r="Q5" s="119"/>
      <c r="R5" s="120"/>
    </row>
    <row r="6" spans="2:19" ht="13" x14ac:dyDescent="0.3">
      <c r="B6" s="10" t="s">
        <v>23</v>
      </c>
      <c r="D6" s="101"/>
      <c r="E6" s="100"/>
      <c r="F6" s="121"/>
      <c r="G6" s="122"/>
      <c r="H6" s="123"/>
      <c r="I6" s="124"/>
      <c r="J6" s="125"/>
      <c r="K6" s="115">
        <v>0</v>
      </c>
      <c r="L6" s="126"/>
      <c r="M6" s="118"/>
      <c r="N6" s="119"/>
      <c r="O6" s="119"/>
      <c r="P6" s="119"/>
      <c r="Q6" s="119"/>
      <c r="R6" s="1"/>
    </row>
    <row r="7" spans="2:19" ht="13" x14ac:dyDescent="0.3">
      <c r="B7" s="9" t="s">
        <v>76</v>
      </c>
      <c r="D7" s="101"/>
      <c r="E7" s="100"/>
      <c r="F7" s="109"/>
      <c r="G7" s="237"/>
      <c r="H7" s="236"/>
      <c r="I7" s="111"/>
      <c r="J7" s="127"/>
      <c r="K7" s="113"/>
      <c r="L7" s="113"/>
      <c r="M7" s="128"/>
      <c r="N7" s="129"/>
      <c r="O7" s="129"/>
      <c r="P7" s="129"/>
      <c r="Q7" s="129"/>
      <c r="R7" s="1"/>
    </row>
    <row r="8" spans="2:19" ht="13" x14ac:dyDescent="0.3">
      <c r="B8" s="10"/>
      <c r="C8" s="100"/>
      <c r="D8" s="101"/>
      <c r="E8" s="100"/>
      <c r="F8" s="109"/>
      <c r="G8" s="236"/>
      <c r="H8" s="236"/>
      <c r="I8" s="111"/>
      <c r="J8" s="130"/>
      <c r="K8" s="113"/>
      <c r="L8" s="131"/>
      <c r="M8" s="114"/>
      <c r="N8" s="50"/>
      <c r="O8" s="50"/>
      <c r="P8" s="50"/>
      <c r="Q8" s="50"/>
      <c r="R8" s="120"/>
    </row>
    <row r="9" spans="2:19" ht="13" x14ac:dyDescent="0.3">
      <c r="B9" s="132"/>
      <c r="C9" s="100"/>
      <c r="D9" s="101"/>
      <c r="E9" s="100"/>
      <c r="F9" s="109"/>
      <c r="G9" s="110"/>
      <c r="H9" s="110"/>
      <c r="I9" s="133"/>
      <c r="J9" s="134"/>
      <c r="K9" s="135"/>
      <c r="L9" s="136"/>
      <c r="M9" s="114"/>
      <c r="N9" s="50"/>
      <c r="O9" s="50"/>
      <c r="P9" s="50"/>
      <c r="Q9" s="50"/>
      <c r="R9" s="120"/>
    </row>
    <row r="10" spans="2:19" ht="13.5" thickBot="1" x14ac:dyDescent="0.35">
      <c r="B10" s="9"/>
      <c r="D10" s="1"/>
      <c r="E10" s="137"/>
      <c r="F10" s="138"/>
      <c r="G10" s="139"/>
      <c r="H10" s="140"/>
      <c r="I10" s="141"/>
      <c r="J10" s="142"/>
      <c r="K10" s="142"/>
      <c r="L10" s="143"/>
      <c r="M10" s="144"/>
      <c r="R10" s="145"/>
    </row>
    <row r="11" spans="2:19" ht="13" x14ac:dyDescent="0.3">
      <c r="B11" s="146"/>
      <c r="E11" s="137"/>
      <c r="L11" s="150"/>
      <c r="M11" s="1"/>
      <c r="N11" s="1"/>
      <c r="O11" s="1"/>
      <c r="P11" s="1"/>
      <c r="Q11" s="1"/>
      <c r="R11" s="120"/>
    </row>
    <row r="12" spans="2:19" x14ac:dyDescent="0.25">
      <c r="E12" s="137"/>
      <c r="L12" s="150"/>
      <c r="R12" s="151" t="s">
        <v>59</v>
      </c>
    </row>
    <row r="13" spans="2:19" ht="13" x14ac:dyDescent="0.3">
      <c r="E13" s="137"/>
      <c r="F13" s="152"/>
      <c r="G13" s="153"/>
      <c r="H13" s="153"/>
      <c r="I13" s="154" t="s">
        <v>57</v>
      </c>
      <c r="J13" s="155">
        <f t="shared" ref="J13:R13" si="0">SUM(J56:J211)</f>
        <v>108219.0046005988</v>
      </c>
      <c r="K13" s="155">
        <f t="shared" si="0"/>
        <v>173236.01663121991</v>
      </c>
      <c r="L13" s="156">
        <f t="shared" si="0"/>
        <v>-65017.012030621088</v>
      </c>
      <c r="M13" s="157">
        <f t="shared" si="0"/>
        <v>-5330.1250381840364</v>
      </c>
      <c r="N13" s="155">
        <f t="shared" si="0"/>
        <v>-70347.137068805125</v>
      </c>
      <c r="O13" s="155">
        <f t="shared" si="0"/>
        <v>0</v>
      </c>
      <c r="P13" s="155">
        <f t="shared" si="0"/>
        <v>0</v>
      </c>
      <c r="Q13" s="155">
        <f t="shared" si="0"/>
        <v>0</v>
      </c>
      <c r="R13" s="156">
        <f t="shared" si="0"/>
        <v>-70347.137068805125</v>
      </c>
    </row>
    <row r="14" spans="2:19" ht="13" x14ac:dyDescent="0.3">
      <c r="E14" s="137"/>
      <c r="F14" s="158"/>
      <c r="G14" s="158"/>
      <c r="H14" s="158"/>
      <c r="I14" s="159" t="s">
        <v>58</v>
      </c>
      <c r="J14" s="155">
        <f>SUM(J20:J211)</f>
        <v>409753.25917438668</v>
      </c>
      <c r="K14" s="155">
        <f>SUM(K20:K211)</f>
        <v>655929.35994014645</v>
      </c>
      <c r="L14" s="156">
        <f>SUM(L20:L211)</f>
        <v>-246176.10076576006</v>
      </c>
      <c r="M14" s="218">
        <v>-20181.631814702763</v>
      </c>
      <c r="N14" s="155">
        <f>SUM(N20:N211)</f>
        <v>-266357.7325804627</v>
      </c>
      <c r="O14" s="155">
        <f>SUM(O20:O211)</f>
        <v>0</v>
      </c>
      <c r="P14" s="155">
        <f>SUM(P20:P211)</f>
        <v>0</v>
      </c>
      <c r="Q14" s="155">
        <f>SUM(Q20:Q211)</f>
        <v>0</v>
      </c>
      <c r="R14" s="156">
        <f>SUM(R20:R211)</f>
        <v>-266357.7325804627</v>
      </c>
    </row>
    <row r="15" spans="2:19" x14ac:dyDescent="0.25">
      <c r="B15" s="160" t="s">
        <v>81</v>
      </c>
      <c r="E15" s="137"/>
      <c r="J15" s="148"/>
      <c r="L15" s="150"/>
      <c r="M15" s="227"/>
      <c r="N15" s="161"/>
      <c r="O15" s="161"/>
      <c r="P15" s="161"/>
      <c r="Q15" s="161"/>
      <c r="R15" s="162" t="s">
        <v>20</v>
      </c>
    </row>
    <row r="16" spans="2:19" x14ac:dyDescent="0.25">
      <c r="B16" s="163" t="str">
        <f>"** Actual Trued-Up CY"&amp;R1&amp;" Charge reflects "&amp;R1&amp;" True-UP Rate x MW"</f>
        <v>** Actual Trued-Up CY2023 Charge reflects 2023 True-UP Rate x MW</v>
      </c>
      <c r="E16" s="137"/>
      <c r="F16" s="110"/>
      <c r="G16" s="5"/>
      <c r="J16" s="164"/>
      <c r="L16" s="165" t="s">
        <v>11</v>
      </c>
      <c r="M16" s="161"/>
      <c r="N16" s="161"/>
      <c r="O16" s="161"/>
      <c r="P16" s="161"/>
      <c r="Q16" s="161"/>
      <c r="R16" s="166"/>
    </row>
    <row r="17" spans="1:18" x14ac:dyDescent="0.25">
      <c r="B17" s="167" t="s">
        <v>61</v>
      </c>
      <c r="E17" s="137"/>
      <c r="I17" s="168"/>
      <c r="J17" s="169"/>
      <c r="K17" s="170"/>
      <c r="L17" s="170"/>
      <c r="M17" s="170"/>
      <c r="N17" s="170"/>
      <c r="O17" s="170"/>
      <c r="P17" s="170"/>
      <c r="Q17" s="170"/>
      <c r="R17" s="171"/>
    </row>
    <row r="18" spans="1:18" ht="3.65" customHeight="1" x14ac:dyDescent="0.25">
      <c r="I18" s="172"/>
      <c r="J18" s="169"/>
      <c r="K18" s="172"/>
      <c r="L18" s="172"/>
      <c r="M18" s="173"/>
      <c r="N18" s="173"/>
      <c r="O18" s="173"/>
      <c r="P18" s="173"/>
      <c r="Q18" s="173"/>
      <c r="R18" s="174"/>
    </row>
    <row r="19" spans="1:18" ht="38.25" customHeight="1" x14ac:dyDescent="0.25">
      <c r="B19" s="175" t="s">
        <v>52</v>
      </c>
      <c r="C19" s="228" t="s">
        <v>4</v>
      </c>
      <c r="D19" s="228" t="s">
        <v>5</v>
      </c>
      <c r="E19" s="220" t="s">
        <v>0</v>
      </c>
      <c r="F19" s="221" t="s">
        <v>12</v>
      </c>
      <c r="G19" s="222" t="s">
        <v>1</v>
      </c>
      <c r="H19" s="176" t="s">
        <v>47</v>
      </c>
      <c r="I19" s="176" t="s">
        <v>45</v>
      </c>
      <c r="J19" s="177" t="str">
        <f>"True-Up Charge"</f>
        <v>True-Up Charge</v>
      </c>
      <c r="K19" s="177" t="s">
        <v>46</v>
      </c>
      <c r="L19" s="178" t="s">
        <v>3</v>
      </c>
      <c r="M19" s="179" t="s">
        <v>7</v>
      </c>
      <c r="N19" s="180" t="s">
        <v>100</v>
      </c>
      <c r="O19" s="180" t="s">
        <v>83</v>
      </c>
      <c r="P19" s="180" t="s">
        <v>84</v>
      </c>
      <c r="Q19" s="180" t="s">
        <v>85</v>
      </c>
      <c r="R19" s="181" t="s">
        <v>2</v>
      </c>
    </row>
    <row r="20" spans="1:18" s="50" customFormat="1" ht="12.75" customHeight="1" x14ac:dyDescent="0.25">
      <c r="A20" s="110">
        <v>1</v>
      </c>
      <c r="B20" s="182">
        <f>DATE($R$1,A20,1)</f>
        <v>44927</v>
      </c>
      <c r="C20" s="223">
        <v>44960</v>
      </c>
      <c r="D20" s="223">
        <v>44981</v>
      </c>
      <c r="E20" s="183" t="s">
        <v>21</v>
      </c>
      <c r="F20" s="110">
        <v>9</v>
      </c>
      <c r="G20" s="184">
        <v>2810</v>
      </c>
      <c r="H20" s="185">
        <f>+$K$3</f>
        <v>6.4194773820210456</v>
      </c>
      <c r="I20" s="185">
        <f t="shared" ref="I20:I63" si="1">$J$3</f>
        <v>4.0101906396130911</v>
      </c>
      <c r="J20" s="186">
        <f t="shared" ref="J20:J108" si="2">+$G20*I20</f>
        <v>11268.635697312786</v>
      </c>
      <c r="K20" s="187">
        <f>+$G20*H20</f>
        <v>18038.731443479137</v>
      </c>
      <c r="L20" s="188">
        <f t="shared" ref="L20:L34" si="3">+J20-K20</f>
        <v>-6770.0957461663511</v>
      </c>
      <c r="M20" s="189">
        <f>G20/$G$212*$M$14</f>
        <v>-555.01561392192798</v>
      </c>
      <c r="N20" s="190">
        <f>SUM(L20:M20)</f>
        <v>-7325.1113600882791</v>
      </c>
      <c r="O20" s="189">
        <v>0</v>
      </c>
      <c r="P20" s="189">
        <v>0</v>
      </c>
      <c r="Q20" s="189">
        <v>0</v>
      </c>
      <c r="R20" s="190">
        <f>+N20-Q20</f>
        <v>-7325.1113600882791</v>
      </c>
    </row>
    <row r="21" spans="1:18" x14ac:dyDescent="0.25">
      <c r="A21" s="147">
        <v>2</v>
      </c>
      <c r="B21" s="182">
        <f t="shared" ref="B21:B108" si="4">DATE($R$1,A21,1)</f>
        <v>44958</v>
      </c>
      <c r="C21" s="223">
        <v>44988</v>
      </c>
      <c r="D21" s="223">
        <v>45009</v>
      </c>
      <c r="E21" s="191" t="s">
        <v>21</v>
      </c>
      <c r="F21" s="147">
        <v>9</v>
      </c>
      <c r="G21" s="184">
        <v>2771</v>
      </c>
      <c r="H21" s="185">
        <f t="shared" ref="H21:H84" si="5">+$K$3</f>
        <v>6.4194773820210456</v>
      </c>
      <c r="I21" s="185">
        <f t="shared" si="1"/>
        <v>4.0101906396130911</v>
      </c>
      <c r="J21" s="186">
        <f t="shared" si="2"/>
        <v>11112.238262367875</v>
      </c>
      <c r="K21" s="187">
        <f t="shared" ref="K21:K33" si="6">+$G21*H21</f>
        <v>17788.371825580318</v>
      </c>
      <c r="L21" s="188">
        <f t="shared" si="3"/>
        <v>-6676.1335632124428</v>
      </c>
      <c r="M21" s="189">
        <f t="shared" ref="M21:M84" si="7">G21/$G$212*$M$14</f>
        <v>-547.31255024116103</v>
      </c>
      <c r="N21" s="190">
        <f t="shared" ref="N21:N84" si="8">SUM(L21:M21)</f>
        <v>-7223.4461134536041</v>
      </c>
      <c r="O21" s="189">
        <v>0</v>
      </c>
      <c r="P21" s="189">
        <v>0</v>
      </c>
      <c r="Q21" s="189">
        <v>0</v>
      </c>
      <c r="R21" s="190">
        <f t="shared" ref="R21:R84" si="9">+N21-Q21</f>
        <v>-7223.4461134536041</v>
      </c>
    </row>
    <row r="22" spans="1:18" x14ac:dyDescent="0.25">
      <c r="A22" s="147">
        <v>3</v>
      </c>
      <c r="B22" s="182">
        <f t="shared" si="4"/>
        <v>44986</v>
      </c>
      <c r="C22" s="223">
        <v>45021</v>
      </c>
      <c r="D22" s="223">
        <v>45040</v>
      </c>
      <c r="E22" s="191" t="s">
        <v>21</v>
      </c>
      <c r="F22" s="147">
        <v>9</v>
      </c>
      <c r="G22" s="184">
        <v>2389</v>
      </c>
      <c r="H22" s="185">
        <f t="shared" si="5"/>
        <v>6.4194773820210456</v>
      </c>
      <c r="I22" s="185">
        <f t="shared" si="1"/>
        <v>4.0101906396130911</v>
      </c>
      <c r="J22" s="186">
        <f t="shared" si="2"/>
        <v>9580.3454380356743</v>
      </c>
      <c r="K22" s="187">
        <f t="shared" si="6"/>
        <v>15336.131465648277</v>
      </c>
      <c r="L22" s="188">
        <f t="shared" si="3"/>
        <v>-5755.786027612603</v>
      </c>
      <c r="M22" s="189">
        <f t="shared" si="7"/>
        <v>-471.86202906031536</v>
      </c>
      <c r="N22" s="190">
        <f t="shared" si="8"/>
        <v>-6227.6480566729188</v>
      </c>
      <c r="O22" s="189">
        <v>0</v>
      </c>
      <c r="P22" s="189">
        <v>0</v>
      </c>
      <c r="Q22" s="189">
        <v>0</v>
      </c>
      <c r="R22" s="190">
        <f t="shared" si="9"/>
        <v>-6227.6480566729188</v>
      </c>
    </row>
    <row r="23" spans="1:18" x14ac:dyDescent="0.25">
      <c r="A23" s="110">
        <v>4</v>
      </c>
      <c r="B23" s="182">
        <f t="shared" si="4"/>
        <v>45017</v>
      </c>
      <c r="C23" s="223">
        <v>45049</v>
      </c>
      <c r="D23" s="223">
        <v>45070</v>
      </c>
      <c r="E23" s="191" t="s">
        <v>21</v>
      </c>
      <c r="F23" s="147">
        <v>9</v>
      </c>
      <c r="G23" s="184">
        <v>2392</v>
      </c>
      <c r="H23" s="185">
        <f t="shared" si="5"/>
        <v>6.4194773820210456</v>
      </c>
      <c r="I23" s="185">
        <f t="shared" si="1"/>
        <v>4.0101906396130911</v>
      </c>
      <c r="J23" s="186">
        <f t="shared" si="2"/>
        <v>9592.3760099545143</v>
      </c>
      <c r="K23" s="187">
        <f t="shared" si="6"/>
        <v>15355.389897794341</v>
      </c>
      <c r="L23" s="188">
        <f t="shared" si="3"/>
        <v>-5763.0138878398266</v>
      </c>
      <c r="M23" s="189">
        <f t="shared" si="7"/>
        <v>-472.45457242037435</v>
      </c>
      <c r="N23" s="190">
        <f t="shared" si="8"/>
        <v>-6235.468460260201</v>
      </c>
      <c r="O23" s="189">
        <v>0</v>
      </c>
      <c r="P23" s="189">
        <v>0</v>
      </c>
      <c r="Q23" s="189">
        <v>0</v>
      </c>
      <c r="R23" s="190">
        <f t="shared" si="9"/>
        <v>-6235.468460260201</v>
      </c>
    </row>
    <row r="24" spans="1:18" ht="12" customHeight="1" x14ac:dyDescent="0.25">
      <c r="A24" s="147">
        <v>5</v>
      </c>
      <c r="B24" s="182">
        <f t="shared" si="4"/>
        <v>45047</v>
      </c>
      <c r="C24" s="223">
        <v>45082</v>
      </c>
      <c r="D24" s="223">
        <v>45103</v>
      </c>
      <c r="E24" s="52" t="s">
        <v>21</v>
      </c>
      <c r="F24" s="147">
        <v>9</v>
      </c>
      <c r="G24" s="184">
        <v>3231</v>
      </c>
      <c r="H24" s="185">
        <f t="shared" si="5"/>
        <v>6.4194773820210456</v>
      </c>
      <c r="I24" s="185">
        <f t="shared" si="1"/>
        <v>4.0101906396130911</v>
      </c>
      <c r="J24" s="186">
        <f t="shared" si="2"/>
        <v>12956.925956589897</v>
      </c>
      <c r="K24" s="187">
        <f t="shared" si="6"/>
        <v>20741.331421309998</v>
      </c>
      <c r="L24" s="188">
        <f t="shared" si="3"/>
        <v>-7784.405464720101</v>
      </c>
      <c r="M24" s="189">
        <f t="shared" si="7"/>
        <v>-638.16919878354076</v>
      </c>
      <c r="N24" s="190">
        <f t="shared" si="8"/>
        <v>-8422.5746635036412</v>
      </c>
      <c r="O24" s="189">
        <v>0</v>
      </c>
      <c r="P24" s="189">
        <v>0</v>
      </c>
      <c r="Q24" s="189">
        <v>0</v>
      </c>
      <c r="R24" s="190">
        <f t="shared" si="9"/>
        <v>-8422.5746635036412</v>
      </c>
    </row>
    <row r="25" spans="1:18" x14ac:dyDescent="0.25">
      <c r="A25" s="147">
        <v>6</v>
      </c>
      <c r="B25" s="182">
        <f t="shared" si="4"/>
        <v>45078</v>
      </c>
      <c r="C25" s="223">
        <v>45112</v>
      </c>
      <c r="D25" s="223">
        <v>45131</v>
      </c>
      <c r="E25" s="52" t="s">
        <v>21</v>
      </c>
      <c r="F25" s="147">
        <v>9</v>
      </c>
      <c r="G25" s="184">
        <v>4100</v>
      </c>
      <c r="H25" s="185">
        <f t="shared" si="5"/>
        <v>6.4194773820210456</v>
      </c>
      <c r="I25" s="185">
        <f t="shared" si="1"/>
        <v>4.0101906396130911</v>
      </c>
      <c r="J25" s="186">
        <f t="shared" si="2"/>
        <v>16441.781622413673</v>
      </c>
      <c r="K25" s="187">
        <f t="shared" si="6"/>
        <v>26319.857266286286</v>
      </c>
      <c r="L25" s="192">
        <f t="shared" si="3"/>
        <v>-9878.075643872613</v>
      </c>
      <c r="M25" s="189">
        <f t="shared" si="7"/>
        <v>-809.80925874729712</v>
      </c>
      <c r="N25" s="190">
        <f t="shared" si="8"/>
        <v>-10687.88490261991</v>
      </c>
      <c r="O25" s="189">
        <v>0</v>
      </c>
      <c r="P25" s="189">
        <v>0</v>
      </c>
      <c r="Q25" s="189">
        <v>0</v>
      </c>
      <c r="R25" s="190">
        <f t="shared" si="9"/>
        <v>-10687.88490261991</v>
      </c>
    </row>
    <row r="26" spans="1:18" x14ac:dyDescent="0.25">
      <c r="A26" s="110">
        <v>7</v>
      </c>
      <c r="B26" s="182">
        <f t="shared" si="4"/>
        <v>45108</v>
      </c>
      <c r="C26" s="223">
        <v>45141</v>
      </c>
      <c r="D26" s="223">
        <v>45162</v>
      </c>
      <c r="E26" s="52" t="s">
        <v>21</v>
      </c>
      <c r="F26" s="147">
        <v>9</v>
      </c>
      <c r="G26" s="184">
        <v>3988</v>
      </c>
      <c r="H26" s="185">
        <f t="shared" si="5"/>
        <v>6.4194773820210456</v>
      </c>
      <c r="I26" s="185">
        <f t="shared" si="1"/>
        <v>4.0101906396130911</v>
      </c>
      <c r="J26" s="186">
        <f t="shared" si="2"/>
        <v>15992.640270777007</v>
      </c>
      <c r="K26" s="193">
        <f t="shared" si="6"/>
        <v>25600.875799499929</v>
      </c>
      <c r="L26" s="192">
        <f t="shared" si="3"/>
        <v>-9608.235528722922</v>
      </c>
      <c r="M26" s="189">
        <f t="shared" si="7"/>
        <v>-787.68763997176131</v>
      </c>
      <c r="N26" s="190">
        <f t="shared" si="8"/>
        <v>-10395.923168694684</v>
      </c>
      <c r="O26" s="189">
        <v>0</v>
      </c>
      <c r="P26" s="189">
        <v>0</v>
      </c>
      <c r="Q26" s="189">
        <v>0</v>
      </c>
      <c r="R26" s="190">
        <f t="shared" si="9"/>
        <v>-10395.923168694684</v>
      </c>
    </row>
    <row r="27" spans="1:18" x14ac:dyDescent="0.25">
      <c r="A27" s="147">
        <v>8</v>
      </c>
      <c r="B27" s="182">
        <f t="shared" si="4"/>
        <v>45139</v>
      </c>
      <c r="C27" s="223">
        <v>45174</v>
      </c>
      <c r="D27" s="223">
        <v>45194</v>
      </c>
      <c r="E27" s="52" t="s">
        <v>21</v>
      </c>
      <c r="F27" s="147">
        <v>9</v>
      </c>
      <c r="G27" s="184">
        <v>4265</v>
      </c>
      <c r="H27" s="185">
        <f t="shared" si="5"/>
        <v>6.4194773820210456</v>
      </c>
      <c r="I27" s="185">
        <f t="shared" si="1"/>
        <v>4.0101906396130911</v>
      </c>
      <c r="J27" s="186">
        <f t="shared" si="2"/>
        <v>17103.463077949833</v>
      </c>
      <c r="K27" s="193">
        <f t="shared" si="6"/>
        <v>27379.071034319761</v>
      </c>
      <c r="L27" s="192">
        <f t="shared" si="3"/>
        <v>-10275.607956369928</v>
      </c>
      <c r="M27" s="189">
        <f t="shared" si="7"/>
        <v>-842.39914355054202</v>
      </c>
      <c r="N27" s="190">
        <f t="shared" si="8"/>
        <v>-11118.007099920469</v>
      </c>
      <c r="O27" s="189">
        <v>0</v>
      </c>
      <c r="P27" s="189">
        <v>0</v>
      </c>
      <c r="Q27" s="189">
        <v>0</v>
      </c>
      <c r="R27" s="190">
        <f t="shared" si="9"/>
        <v>-11118.007099920469</v>
      </c>
    </row>
    <row r="28" spans="1:18" x14ac:dyDescent="0.25">
      <c r="A28" s="147">
        <v>9</v>
      </c>
      <c r="B28" s="182">
        <f t="shared" si="4"/>
        <v>45170</v>
      </c>
      <c r="C28" s="223">
        <v>45203</v>
      </c>
      <c r="D28" s="223">
        <v>45223</v>
      </c>
      <c r="E28" s="52" t="s">
        <v>21</v>
      </c>
      <c r="F28" s="147">
        <v>9</v>
      </c>
      <c r="G28" s="184">
        <v>4016</v>
      </c>
      <c r="H28" s="185">
        <f t="shared" si="5"/>
        <v>6.4194773820210456</v>
      </c>
      <c r="I28" s="185">
        <f t="shared" si="1"/>
        <v>4.0101906396130911</v>
      </c>
      <c r="J28" s="186">
        <f t="shared" si="2"/>
        <v>16104.925608686173</v>
      </c>
      <c r="K28" s="193">
        <f t="shared" si="6"/>
        <v>25780.621166196521</v>
      </c>
      <c r="L28" s="192">
        <f t="shared" si="3"/>
        <v>-9675.6955575103475</v>
      </c>
      <c r="M28" s="189">
        <f t="shared" si="7"/>
        <v>-793.21804466564527</v>
      </c>
      <c r="N28" s="190">
        <f t="shared" si="8"/>
        <v>-10468.913602175993</v>
      </c>
      <c r="O28" s="189">
        <v>0</v>
      </c>
      <c r="P28" s="189">
        <v>0</v>
      </c>
      <c r="Q28" s="189">
        <v>0</v>
      </c>
      <c r="R28" s="190">
        <f t="shared" si="9"/>
        <v>-10468.913602175993</v>
      </c>
    </row>
    <row r="29" spans="1:18" x14ac:dyDescent="0.25">
      <c r="A29" s="110">
        <v>10</v>
      </c>
      <c r="B29" s="182">
        <f t="shared" si="4"/>
        <v>45200</v>
      </c>
      <c r="C29" s="223">
        <v>45233</v>
      </c>
      <c r="D29" s="223">
        <v>45254</v>
      </c>
      <c r="E29" s="52" t="s">
        <v>21</v>
      </c>
      <c r="F29" s="147">
        <v>9</v>
      </c>
      <c r="G29" s="184">
        <v>3105</v>
      </c>
      <c r="H29" s="185">
        <f t="shared" si="5"/>
        <v>6.4194773820210456</v>
      </c>
      <c r="I29" s="185">
        <f t="shared" si="1"/>
        <v>4.0101906396130911</v>
      </c>
      <c r="J29" s="186">
        <f t="shared" si="2"/>
        <v>12451.641935998648</v>
      </c>
      <c r="K29" s="193">
        <f t="shared" si="6"/>
        <v>19932.477271175347</v>
      </c>
      <c r="L29" s="192">
        <f t="shared" si="3"/>
        <v>-7480.8353351766982</v>
      </c>
      <c r="M29" s="189">
        <f t="shared" si="7"/>
        <v>-613.28237766106292</v>
      </c>
      <c r="N29" s="190">
        <f t="shared" si="8"/>
        <v>-8094.1177128377612</v>
      </c>
      <c r="O29" s="189">
        <v>0</v>
      </c>
      <c r="P29" s="189">
        <v>0</v>
      </c>
      <c r="Q29" s="189">
        <v>0</v>
      </c>
      <c r="R29" s="190">
        <f t="shared" si="9"/>
        <v>-8094.1177128377612</v>
      </c>
    </row>
    <row r="30" spans="1:18" x14ac:dyDescent="0.25">
      <c r="A30" s="147">
        <v>11</v>
      </c>
      <c r="B30" s="182">
        <f t="shared" si="4"/>
        <v>45231</v>
      </c>
      <c r="C30" s="223">
        <v>45266</v>
      </c>
      <c r="D30" s="223">
        <v>45285</v>
      </c>
      <c r="E30" s="52" t="s">
        <v>21</v>
      </c>
      <c r="F30" s="147">
        <v>9</v>
      </c>
      <c r="G30" s="184">
        <v>2513</v>
      </c>
      <c r="H30" s="185">
        <f t="shared" si="5"/>
        <v>6.4194773820210456</v>
      </c>
      <c r="I30" s="185">
        <f t="shared" si="1"/>
        <v>4.0101906396130911</v>
      </c>
      <c r="J30" s="186">
        <f t="shared" si="2"/>
        <v>10077.609077347697</v>
      </c>
      <c r="K30" s="193">
        <f t="shared" si="6"/>
        <v>16132.146661018887</v>
      </c>
      <c r="L30" s="192">
        <f t="shared" si="3"/>
        <v>-6054.5375836711901</v>
      </c>
      <c r="M30" s="189">
        <f t="shared" si="7"/>
        <v>-496.35382127608727</v>
      </c>
      <c r="N30" s="190">
        <f t="shared" si="8"/>
        <v>-6550.8914049472769</v>
      </c>
      <c r="O30" s="189">
        <v>0</v>
      </c>
      <c r="P30" s="189">
        <v>0</v>
      </c>
      <c r="Q30" s="189">
        <v>0</v>
      </c>
      <c r="R30" s="190">
        <f t="shared" si="9"/>
        <v>-6550.8914049472769</v>
      </c>
    </row>
    <row r="31" spans="1:18" x14ac:dyDescent="0.25">
      <c r="A31" s="147">
        <v>12</v>
      </c>
      <c r="B31" s="182">
        <f t="shared" si="4"/>
        <v>45261</v>
      </c>
      <c r="C31" s="224">
        <v>45294</v>
      </c>
      <c r="D31" s="225">
        <v>45315</v>
      </c>
      <c r="E31" s="52" t="s">
        <v>21</v>
      </c>
      <c r="F31" s="147">
        <v>9</v>
      </c>
      <c r="G31" s="184">
        <v>2474</v>
      </c>
      <c r="H31" s="194">
        <f t="shared" si="5"/>
        <v>6.4194773820210456</v>
      </c>
      <c r="I31" s="194">
        <f t="shared" si="1"/>
        <v>4.0101906396130911</v>
      </c>
      <c r="J31" s="195">
        <f t="shared" si="2"/>
        <v>9921.2116424027881</v>
      </c>
      <c r="K31" s="196">
        <f t="shared" si="6"/>
        <v>15881.787043120066</v>
      </c>
      <c r="L31" s="197">
        <f t="shared" si="3"/>
        <v>-5960.5754007172782</v>
      </c>
      <c r="M31" s="189">
        <f t="shared" si="7"/>
        <v>-488.65075759532027</v>
      </c>
      <c r="N31" s="190">
        <f t="shared" si="8"/>
        <v>-6449.2261583125983</v>
      </c>
      <c r="O31" s="189">
        <v>0</v>
      </c>
      <c r="P31" s="189">
        <v>0</v>
      </c>
      <c r="Q31" s="189">
        <v>0</v>
      </c>
      <c r="R31" s="190">
        <f t="shared" si="9"/>
        <v>-6449.2261583125983</v>
      </c>
    </row>
    <row r="32" spans="1:18" x14ac:dyDescent="0.25">
      <c r="A32" s="110">
        <v>1</v>
      </c>
      <c r="B32" s="198">
        <f t="shared" si="4"/>
        <v>44927</v>
      </c>
      <c r="C32" s="199">
        <f t="shared" ref="C32:D43" si="10">+C20</f>
        <v>44960</v>
      </c>
      <c r="D32" s="199">
        <f t="shared" si="10"/>
        <v>44981</v>
      </c>
      <c r="E32" s="200" t="s">
        <v>22</v>
      </c>
      <c r="F32" s="201">
        <v>9</v>
      </c>
      <c r="G32" s="184">
        <v>2724</v>
      </c>
      <c r="H32" s="185">
        <f t="shared" si="5"/>
        <v>6.4194773820210456</v>
      </c>
      <c r="I32" s="185">
        <f t="shared" si="1"/>
        <v>4.0101906396130911</v>
      </c>
      <c r="J32" s="186">
        <f t="shared" si="2"/>
        <v>10923.75930230606</v>
      </c>
      <c r="K32" s="187">
        <f t="shared" si="6"/>
        <v>17486.656388625328</v>
      </c>
      <c r="L32" s="188">
        <f t="shared" si="3"/>
        <v>-6562.8970863192681</v>
      </c>
      <c r="M32" s="189">
        <f t="shared" si="7"/>
        <v>-538.02937093357014</v>
      </c>
      <c r="N32" s="190">
        <f t="shared" si="8"/>
        <v>-7100.9264572528382</v>
      </c>
      <c r="O32" s="189">
        <v>0</v>
      </c>
      <c r="P32" s="189">
        <v>0</v>
      </c>
      <c r="Q32" s="189">
        <v>0</v>
      </c>
      <c r="R32" s="190">
        <f t="shared" si="9"/>
        <v>-7100.9264572528382</v>
      </c>
    </row>
    <row r="33" spans="1:18" x14ac:dyDescent="0.25">
      <c r="A33" s="147">
        <v>2</v>
      </c>
      <c r="B33" s="182">
        <f t="shared" si="4"/>
        <v>44958</v>
      </c>
      <c r="C33" s="202">
        <f t="shared" si="10"/>
        <v>44988</v>
      </c>
      <c r="D33" s="202">
        <f t="shared" si="10"/>
        <v>45009</v>
      </c>
      <c r="E33" s="191" t="s">
        <v>22</v>
      </c>
      <c r="F33" s="147">
        <v>9</v>
      </c>
      <c r="G33" s="184">
        <v>2757</v>
      </c>
      <c r="H33" s="185">
        <f t="shared" si="5"/>
        <v>6.4194773820210456</v>
      </c>
      <c r="I33" s="185">
        <f t="shared" si="1"/>
        <v>4.0101906396130911</v>
      </c>
      <c r="J33" s="186">
        <f t="shared" si="2"/>
        <v>11056.095593413293</v>
      </c>
      <c r="K33" s="187">
        <f t="shared" si="6"/>
        <v>17698.499142232024</v>
      </c>
      <c r="L33" s="188">
        <f t="shared" si="3"/>
        <v>-6642.403548818731</v>
      </c>
      <c r="M33" s="189">
        <f t="shared" si="7"/>
        <v>-544.54734789421912</v>
      </c>
      <c r="N33" s="190">
        <f t="shared" si="8"/>
        <v>-7186.9508967129505</v>
      </c>
      <c r="O33" s="189">
        <v>0</v>
      </c>
      <c r="P33" s="189">
        <v>0</v>
      </c>
      <c r="Q33" s="189">
        <v>0</v>
      </c>
      <c r="R33" s="190">
        <f t="shared" si="9"/>
        <v>-7186.9508967129505</v>
      </c>
    </row>
    <row r="34" spans="1:18" x14ac:dyDescent="0.25">
      <c r="A34" s="147">
        <v>3</v>
      </c>
      <c r="B34" s="182">
        <f t="shared" si="4"/>
        <v>44986</v>
      </c>
      <c r="C34" s="202">
        <f t="shared" si="10"/>
        <v>45021</v>
      </c>
      <c r="D34" s="202">
        <f t="shared" si="10"/>
        <v>45040</v>
      </c>
      <c r="E34" s="191" t="s">
        <v>22</v>
      </c>
      <c r="F34" s="147">
        <v>9</v>
      </c>
      <c r="G34" s="184">
        <v>2641</v>
      </c>
      <c r="H34" s="185">
        <f t="shared" si="5"/>
        <v>6.4194773820210456</v>
      </c>
      <c r="I34" s="185">
        <f t="shared" si="1"/>
        <v>4.0101906396130911</v>
      </c>
      <c r="J34" s="186">
        <f t="shared" si="2"/>
        <v>10590.913479218174</v>
      </c>
      <c r="K34" s="187">
        <f t="shared" ref="K34:K93" si="11">+$G34*H34</f>
        <v>16953.839765917583</v>
      </c>
      <c r="L34" s="188">
        <f t="shared" si="3"/>
        <v>-6362.9262866994086</v>
      </c>
      <c r="M34" s="189">
        <f t="shared" si="7"/>
        <v>-521.63567130527122</v>
      </c>
      <c r="N34" s="190">
        <f t="shared" si="8"/>
        <v>-6884.5619580046796</v>
      </c>
      <c r="O34" s="189">
        <v>0</v>
      </c>
      <c r="P34" s="189">
        <v>0</v>
      </c>
      <c r="Q34" s="189">
        <v>0</v>
      </c>
      <c r="R34" s="190">
        <f t="shared" si="9"/>
        <v>-6884.5619580046796</v>
      </c>
    </row>
    <row r="35" spans="1:18" x14ac:dyDescent="0.25">
      <c r="A35" s="110">
        <v>4</v>
      </c>
      <c r="B35" s="182">
        <f t="shared" si="4"/>
        <v>45017</v>
      </c>
      <c r="C35" s="202">
        <f t="shared" si="10"/>
        <v>45049</v>
      </c>
      <c r="D35" s="202">
        <f t="shared" si="10"/>
        <v>45070</v>
      </c>
      <c r="E35" s="191" t="s">
        <v>22</v>
      </c>
      <c r="F35" s="147">
        <v>9</v>
      </c>
      <c r="G35" s="184">
        <v>2417</v>
      </c>
      <c r="H35" s="185">
        <f t="shared" si="5"/>
        <v>6.4194773820210456</v>
      </c>
      <c r="I35" s="185">
        <f t="shared" si="1"/>
        <v>4.0101906396130911</v>
      </c>
      <c r="J35" s="186">
        <f t="shared" si="2"/>
        <v>9692.6307759448409</v>
      </c>
      <c r="K35" s="187">
        <f t="shared" si="11"/>
        <v>15515.876832344868</v>
      </c>
      <c r="L35" s="188">
        <f t="shared" ref="L35:L57" si="12">+J35-K35</f>
        <v>-5823.2460564000266</v>
      </c>
      <c r="M35" s="189">
        <f t="shared" si="7"/>
        <v>-477.39243375419932</v>
      </c>
      <c r="N35" s="190">
        <f t="shared" si="8"/>
        <v>-6300.638490154226</v>
      </c>
      <c r="O35" s="189">
        <v>0</v>
      </c>
      <c r="P35" s="189">
        <v>0</v>
      </c>
      <c r="Q35" s="189">
        <v>0</v>
      </c>
      <c r="R35" s="190">
        <f t="shared" si="9"/>
        <v>-6300.638490154226</v>
      </c>
    </row>
    <row r="36" spans="1:18" x14ac:dyDescent="0.25">
      <c r="A36" s="147">
        <v>5</v>
      </c>
      <c r="B36" s="182">
        <f t="shared" si="4"/>
        <v>45047</v>
      </c>
      <c r="C36" s="202">
        <f t="shared" si="10"/>
        <v>45082</v>
      </c>
      <c r="D36" s="202">
        <f t="shared" si="10"/>
        <v>45103</v>
      </c>
      <c r="E36" s="52" t="s">
        <v>22</v>
      </c>
      <c r="F36" s="147">
        <v>9</v>
      </c>
      <c r="G36" s="184">
        <v>2844</v>
      </c>
      <c r="H36" s="185">
        <f t="shared" si="5"/>
        <v>6.4194773820210456</v>
      </c>
      <c r="I36" s="185">
        <f t="shared" si="1"/>
        <v>4.0101906396130911</v>
      </c>
      <c r="J36" s="186">
        <f t="shared" si="2"/>
        <v>11404.982179059631</v>
      </c>
      <c r="K36" s="187">
        <f t="shared" si="11"/>
        <v>18256.993674467853</v>
      </c>
      <c r="L36" s="188">
        <f t="shared" si="12"/>
        <v>-6852.0114954082219</v>
      </c>
      <c r="M36" s="189">
        <f t="shared" si="7"/>
        <v>-561.73110533593001</v>
      </c>
      <c r="N36" s="190">
        <f t="shared" si="8"/>
        <v>-7413.7426007441518</v>
      </c>
      <c r="O36" s="189">
        <v>0</v>
      </c>
      <c r="P36" s="189">
        <v>0</v>
      </c>
      <c r="Q36" s="189">
        <v>0</v>
      </c>
      <c r="R36" s="190">
        <f t="shared" si="9"/>
        <v>-7413.7426007441518</v>
      </c>
    </row>
    <row r="37" spans="1:18" x14ac:dyDescent="0.25">
      <c r="A37" s="147">
        <v>6</v>
      </c>
      <c r="B37" s="182">
        <f t="shared" si="4"/>
        <v>45078</v>
      </c>
      <c r="C37" s="202">
        <f t="shared" si="10"/>
        <v>45112</v>
      </c>
      <c r="D37" s="202">
        <f t="shared" si="10"/>
        <v>45131</v>
      </c>
      <c r="E37" s="52" t="s">
        <v>22</v>
      </c>
      <c r="F37" s="147">
        <v>9</v>
      </c>
      <c r="G37" s="184">
        <v>3500</v>
      </c>
      <c r="H37" s="185">
        <f t="shared" si="5"/>
        <v>6.4194773820210456</v>
      </c>
      <c r="I37" s="185">
        <f t="shared" si="1"/>
        <v>4.0101906396130911</v>
      </c>
      <c r="J37" s="186">
        <f t="shared" si="2"/>
        <v>14035.667238645819</v>
      </c>
      <c r="K37" s="187">
        <f t="shared" si="11"/>
        <v>22468.17083707366</v>
      </c>
      <c r="L37" s="192">
        <f t="shared" si="12"/>
        <v>-8432.5035984278402</v>
      </c>
      <c r="M37" s="189">
        <f t="shared" si="7"/>
        <v>-691.30058673549752</v>
      </c>
      <c r="N37" s="190">
        <f t="shared" si="8"/>
        <v>-9123.804185163337</v>
      </c>
      <c r="O37" s="189">
        <v>0</v>
      </c>
      <c r="P37" s="189">
        <v>0</v>
      </c>
      <c r="Q37" s="189">
        <v>0</v>
      </c>
      <c r="R37" s="190">
        <f t="shared" si="9"/>
        <v>-9123.804185163337</v>
      </c>
    </row>
    <row r="38" spans="1:18" x14ac:dyDescent="0.25">
      <c r="A38" s="110">
        <v>7</v>
      </c>
      <c r="B38" s="182">
        <f t="shared" si="4"/>
        <v>45108</v>
      </c>
      <c r="C38" s="202">
        <f t="shared" si="10"/>
        <v>45141</v>
      </c>
      <c r="D38" s="202">
        <f t="shared" si="10"/>
        <v>45162</v>
      </c>
      <c r="E38" s="52" t="s">
        <v>22</v>
      </c>
      <c r="F38" s="147">
        <v>9</v>
      </c>
      <c r="G38" s="184">
        <v>3569</v>
      </c>
      <c r="H38" s="185">
        <f t="shared" si="5"/>
        <v>6.4194773820210456</v>
      </c>
      <c r="I38" s="185">
        <f t="shared" si="1"/>
        <v>4.0101906396130911</v>
      </c>
      <c r="J38" s="186">
        <f t="shared" si="2"/>
        <v>14312.370392779121</v>
      </c>
      <c r="K38" s="193">
        <f t="shared" si="11"/>
        <v>22911.114776433111</v>
      </c>
      <c r="L38" s="192">
        <f t="shared" si="12"/>
        <v>-8598.7443836539896</v>
      </c>
      <c r="M38" s="189">
        <f t="shared" si="7"/>
        <v>-704.92908401685452</v>
      </c>
      <c r="N38" s="190">
        <f t="shared" si="8"/>
        <v>-9303.6734676708438</v>
      </c>
      <c r="O38" s="189">
        <v>0</v>
      </c>
      <c r="P38" s="189">
        <v>0</v>
      </c>
      <c r="Q38" s="189">
        <v>0</v>
      </c>
      <c r="R38" s="190">
        <f t="shared" si="9"/>
        <v>-9303.6734676708438</v>
      </c>
    </row>
    <row r="39" spans="1:18" x14ac:dyDescent="0.25">
      <c r="A39" s="147">
        <v>8</v>
      </c>
      <c r="B39" s="182">
        <f t="shared" si="4"/>
        <v>45139</v>
      </c>
      <c r="C39" s="202">
        <f t="shared" si="10"/>
        <v>45174</v>
      </c>
      <c r="D39" s="202">
        <f t="shared" si="10"/>
        <v>45194</v>
      </c>
      <c r="E39" s="52" t="s">
        <v>22</v>
      </c>
      <c r="F39" s="147">
        <v>9</v>
      </c>
      <c r="G39" s="184">
        <v>3766</v>
      </c>
      <c r="H39" s="185">
        <f t="shared" si="5"/>
        <v>6.4194773820210456</v>
      </c>
      <c r="I39" s="185">
        <f t="shared" si="1"/>
        <v>4.0101906396130911</v>
      </c>
      <c r="J39" s="186">
        <f t="shared" si="2"/>
        <v>15102.377948782902</v>
      </c>
      <c r="K39" s="193">
        <f t="shared" si="11"/>
        <v>24175.751820691257</v>
      </c>
      <c r="L39" s="192">
        <f t="shared" si="12"/>
        <v>-9073.3738719083558</v>
      </c>
      <c r="M39" s="189">
        <f t="shared" si="7"/>
        <v>-743.83943132739535</v>
      </c>
      <c r="N39" s="190">
        <f t="shared" si="8"/>
        <v>-9817.2133032357506</v>
      </c>
      <c r="O39" s="189">
        <v>0</v>
      </c>
      <c r="P39" s="189">
        <v>0</v>
      </c>
      <c r="Q39" s="189">
        <v>0</v>
      </c>
      <c r="R39" s="190">
        <f t="shared" si="9"/>
        <v>-9817.2133032357506</v>
      </c>
    </row>
    <row r="40" spans="1:18" x14ac:dyDescent="0.25">
      <c r="A40" s="147">
        <v>9</v>
      </c>
      <c r="B40" s="182">
        <f t="shared" si="4"/>
        <v>45170</v>
      </c>
      <c r="C40" s="202">
        <f t="shared" si="10"/>
        <v>45203</v>
      </c>
      <c r="D40" s="202">
        <f t="shared" si="10"/>
        <v>45223</v>
      </c>
      <c r="E40" s="52" t="s">
        <v>22</v>
      </c>
      <c r="F40" s="147">
        <v>9</v>
      </c>
      <c r="G40" s="184">
        <v>3456</v>
      </c>
      <c r="H40" s="185">
        <f t="shared" si="5"/>
        <v>6.4194773820210456</v>
      </c>
      <c r="I40" s="185">
        <f t="shared" si="1"/>
        <v>4.0101906396130911</v>
      </c>
      <c r="J40" s="186">
        <f t="shared" si="2"/>
        <v>13859.218850502843</v>
      </c>
      <c r="K40" s="193">
        <f t="shared" si="11"/>
        <v>22185.713832264733</v>
      </c>
      <c r="L40" s="192">
        <f t="shared" si="12"/>
        <v>-8326.4949817618908</v>
      </c>
      <c r="M40" s="189">
        <f t="shared" si="7"/>
        <v>-682.60995078796566</v>
      </c>
      <c r="N40" s="190">
        <f t="shared" si="8"/>
        <v>-9009.104932549857</v>
      </c>
      <c r="O40" s="189">
        <v>0</v>
      </c>
      <c r="P40" s="189">
        <v>0</v>
      </c>
      <c r="Q40" s="189">
        <v>0</v>
      </c>
      <c r="R40" s="190">
        <f t="shared" si="9"/>
        <v>-9009.104932549857</v>
      </c>
    </row>
    <row r="41" spans="1:18" x14ac:dyDescent="0.25">
      <c r="A41" s="110">
        <v>10</v>
      </c>
      <c r="B41" s="182">
        <f t="shared" si="4"/>
        <v>45200</v>
      </c>
      <c r="C41" s="202">
        <f t="shared" si="10"/>
        <v>45233</v>
      </c>
      <c r="D41" s="202">
        <f t="shared" si="10"/>
        <v>45254</v>
      </c>
      <c r="E41" s="52" t="s">
        <v>22</v>
      </c>
      <c r="F41" s="147">
        <v>9</v>
      </c>
      <c r="G41" s="184">
        <v>2810</v>
      </c>
      <c r="H41" s="185">
        <f t="shared" si="5"/>
        <v>6.4194773820210456</v>
      </c>
      <c r="I41" s="185">
        <f t="shared" si="1"/>
        <v>4.0101906396130911</v>
      </c>
      <c r="J41" s="186">
        <f t="shared" si="2"/>
        <v>11268.635697312786</v>
      </c>
      <c r="K41" s="193">
        <f t="shared" si="11"/>
        <v>18038.731443479137</v>
      </c>
      <c r="L41" s="192">
        <f t="shared" si="12"/>
        <v>-6770.0957461663511</v>
      </c>
      <c r="M41" s="189">
        <f t="shared" si="7"/>
        <v>-555.01561392192798</v>
      </c>
      <c r="N41" s="190">
        <f t="shared" si="8"/>
        <v>-7325.1113600882791</v>
      </c>
      <c r="O41" s="189">
        <v>0</v>
      </c>
      <c r="P41" s="189">
        <v>0</v>
      </c>
      <c r="Q41" s="189">
        <v>0</v>
      </c>
      <c r="R41" s="190">
        <f t="shared" si="9"/>
        <v>-7325.1113600882791</v>
      </c>
    </row>
    <row r="42" spans="1:18" x14ac:dyDescent="0.25">
      <c r="A42" s="147">
        <v>11</v>
      </c>
      <c r="B42" s="182">
        <f t="shared" si="4"/>
        <v>45231</v>
      </c>
      <c r="C42" s="202">
        <f t="shared" si="10"/>
        <v>45266</v>
      </c>
      <c r="D42" s="202">
        <f t="shared" si="10"/>
        <v>45285</v>
      </c>
      <c r="E42" s="52" t="s">
        <v>22</v>
      </c>
      <c r="F42" s="147">
        <v>9</v>
      </c>
      <c r="G42" s="184">
        <v>2499</v>
      </c>
      <c r="H42" s="185">
        <f t="shared" si="5"/>
        <v>6.4194773820210456</v>
      </c>
      <c r="I42" s="185">
        <f t="shared" si="1"/>
        <v>4.0101906396130911</v>
      </c>
      <c r="J42" s="186">
        <f t="shared" si="2"/>
        <v>10021.466408393115</v>
      </c>
      <c r="K42" s="193">
        <f t="shared" si="11"/>
        <v>16042.273977670593</v>
      </c>
      <c r="L42" s="192">
        <f t="shared" si="12"/>
        <v>-6020.8075692774783</v>
      </c>
      <c r="M42" s="189">
        <f t="shared" si="7"/>
        <v>-493.5886189291453</v>
      </c>
      <c r="N42" s="190">
        <f t="shared" si="8"/>
        <v>-6514.3961882066233</v>
      </c>
      <c r="O42" s="189">
        <v>0</v>
      </c>
      <c r="P42" s="189">
        <v>0</v>
      </c>
      <c r="Q42" s="189">
        <v>0</v>
      </c>
      <c r="R42" s="190">
        <f t="shared" si="9"/>
        <v>-6514.3961882066233</v>
      </c>
    </row>
    <row r="43" spans="1:18" x14ac:dyDescent="0.25">
      <c r="A43" s="147">
        <v>12</v>
      </c>
      <c r="B43" s="182">
        <f t="shared" si="4"/>
        <v>45261</v>
      </c>
      <c r="C43" s="202">
        <f t="shared" si="10"/>
        <v>45294</v>
      </c>
      <c r="D43" s="202">
        <f t="shared" si="10"/>
        <v>45315</v>
      </c>
      <c r="E43" s="52" t="s">
        <v>22</v>
      </c>
      <c r="F43" s="147">
        <v>9</v>
      </c>
      <c r="G43" s="184">
        <v>2532</v>
      </c>
      <c r="H43" s="194">
        <f t="shared" si="5"/>
        <v>6.4194773820210456</v>
      </c>
      <c r="I43" s="194">
        <f t="shared" si="1"/>
        <v>4.0101906396130911</v>
      </c>
      <c r="J43" s="195">
        <f t="shared" si="2"/>
        <v>10153.802699500347</v>
      </c>
      <c r="K43" s="196">
        <f t="shared" si="11"/>
        <v>16254.116731277287</v>
      </c>
      <c r="L43" s="197">
        <f t="shared" si="12"/>
        <v>-6100.3140317769394</v>
      </c>
      <c r="M43" s="189">
        <f t="shared" si="7"/>
        <v>-500.10659588979422</v>
      </c>
      <c r="N43" s="190">
        <f t="shared" si="8"/>
        <v>-6600.4206276667337</v>
      </c>
      <c r="O43" s="189">
        <v>0</v>
      </c>
      <c r="P43" s="189">
        <v>0</v>
      </c>
      <c r="Q43" s="189">
        <v>0</v>
      </c>
      <c r="R43" s="190">
        <f t="shared" si="9"/>
        <v>-6600.4206276667337</v>
      </c>
    </row>
    <row r="44" spans="1:18" x14ac:dyDescent="0.25">
      <c r="A44" s="110">
        <v>1</v>
      </c>
      <c r="B44" s="198">
        <f t="shared" ref="B44:B55" si="13">DATE($R$1,A44,1)</f>
        <v>44927</v>
      </c>
      <c r="C44" s="199">
        <f t="shared" ref="C44:D55" si="14">+C32</f>
        <v>44960</v>
      </c>
      <c r="D44" s="199">
        <f t="shared" si="14"/>
        <v>44981</v>
      </c>
      <c r="E44" s="200" t="s">
        <v>80</v>
      </c>
      <c r="F44" s="201">
        <v>9</v>
      </c>
      <c r="G44" s="184">
        <v>137</v>
      </c>
      <c r="H44" s="185">
        <f t="shared" si="5"/>
        <v>6.4194773820210456</v>
      </c>
      <c r="I44" s="185">
        <f t="shared" si="1"/>
        <v>4.0101906396130911</v>
      </c>
      <c r="J44" s="189">
        <f t="shared" ref="J44:J55" si="15">+$G44*I44</f>
        <v>549.39611762699349</v>
      </c>
      <c r="K44" s="193">
        <f t="shared" ref="K44:K55" si="16">+$G44*H44</f>
        <v>879.46840133688329</v>
      </c>
      <c r="L44" s="192">
        <f t="shared" ref="L44:L55" si="17">+J44-K44</f>
        <v>-330.0722837098898</v>
      </c>
      <c r="M44" s="189">
        <f t="shared" si="7"/>
        <v>-27.059480109360905</v>
      </c>
      <c r="N44" s="190">
        <f t="shared" si="8"/>
        <v>-357.13176381925069</v>
      </c>
      <c r="O44" s="189">
        <v>0</v>
      </c>
      <c r="P44" s="189">
        <v>0</v>
      </c>
      <c r="Q44" s="189">
        <v>0</v>
      </c>
      <c r="R44" s="190">
        <f t="shared" si="9"/>
        <v>-357.13176381925069</v>
      </c>
    </row>
    <row r="45" spans="1:18" x14ac:dyDescent="0.25">
      <c r="A45" s="147">
        <v>2</v>
      </c>
      <c r="B45" s="182">
        <f t="shared" si="13"/>
        <v>44958</v>
      </c>
      <c r="C45" s="202">
        <f t="shared" si="14"/>
        <v>44988</v>
      </c>
      <c r="D45" s="202">
        <f t="shared" si="14"/>
        <v>45009</v>
      </c>
      <c r="E45" s="191" t="s">
        <v>80</v>
      </c>
      <c r="F45" s="147">
        <v>9</v>
      </c>
      <c r="G45" s="184">
        <v>132</v>
      </c>
      <c r="H45" s="185">
        <f t="shared" si="5"/>
        <v>6.4194773820210456</v>
      </c>
      <c r="I45" s="185">
        <f t="shared" si="1"/>
        <v>4.0101906396130911</v>
      </c>
      <c r="J45" s="189">
        <f t="shared" si="15"/>
        <v>529.345164428928</v>
      </c>
      <c r="K45" s="193">
        <f t="shared" si="16"/>
        <v>847.37101442677806</v>
      </c>
      <c r="L45" s="192">
        <f t="shared" si="17"/>
        <v>-318.02584999785006</v>
      </c>
      <c r="M45" s="189">
        <f t="shared" si="7"/>
        <v>-26.071907842595909</v>
      </c>
      <c r="N45" s="190">
        <f t="shared" si="8"/>
        <v>-344.09775784044598</v>
      </c>
      <c r="O45" s="189">
        <v>0</v>
      </c>
      <c r="P45" s="189">
        <v>0</v>
      </c>
      <c r="Q45" s="189">
        <v>0</v>
      </c>
      <c r="R45" s="190">
        <f t="shared" si="9"/>
        <v>-344.09775784044598</v>
      </c>
    </row>
    <row r="46" spans="1:18" x14ac:dyDescent="0.25">
      <c r="A46" s="147">
        <v>3</v>
      </c>
      <c r="B46" s="182">
        <f t="shared" si="13"/>
        <v>44986</v>
      </c>
      <c r="C46" s="202">
        <f t="shared" si="14"/>
        <v>45021</v>
      </c>
      <c r="D46" s="202">
        <f t="shared" si="14"/>
        <v>45040</v>
      </c>
      <c r="E46" s="191" t="s">
        <v>80</v>
      </c>
      <c r="F46" s="147">
        <v>9</v>
      </c>
      <c r="G46" s="184">
        <v>148</v>
      </c>
      <c r="H46" s="185">
        <f t="shared" si="5"/>
        <v>6.4194773820210456</v>
      </c>
      <c r="I46" s="185">
        <f t="shared" si="1"/>
        <v>4.0101906396130911</v>
      </c>
      <c r="J46" s="189">
        <f t="shared" si="15"/>
        <v>593.50821466273749</v>
      </c>
      <c r="K46" s="193">
        <f t="shared" si="16"/>
        <v>950.08265253911475</v>
      </c>
      <c r="L46" s="192">
        <f t="shared" si="17"/>
        <v>-356.57443787637726</v>
      </c>
      <c r="M46" s="189">
        <f t="shared" si="7"/>
        <v>-29.232139096243895</v>
      </c>
      <c r="N46" s="190">
        <f t="shared" si="8"/>
        <v>-385.80657697262114</v>
      </c>
      <c r="O46" s="189">
        <v>0</v>
      </c>
      <c r="P46" s="189">
        <v>0</v>
      </c>
      <c r="Q46" s="189">
        <v>0</v>
      </c>
      <c r="R46" s="190">
        <f t="shared" si="9"/>
        <v>-385.80657697262114</v>
      </c>
    </row>
    <row r="47" spans="1:18" x14ac:dyDescent="0.25">
      <c r="A47" s="110">
        <v>4</v>
      </c>
      <c r="B47" s="182">
        <f t="shared" si="13"/>
        <v>45017</v>
      </c>
      <c r="C47" s="202">
        <f t="shared" si="14"/>
        <v>45049</v>
      </c>
      <c r="D47" s="202">
        <f t="shared" si="14"/>
        <v>45070</v>
      </c>
      <c r="E47" s="191" t="s">
        <v>80</v>
      </c>
      <c r="F47" s="147">
        <v>9</v>
      </c>
      <c r="G47" s="184">
        <v>92</v>
      </c>
      <c r="H47" s="185">
        <f t="shared" si="5"/>
        <v>6.4194773820210456</v>
      </c>
      <c r="I47" s="185">
        <f t="shared" si="1"/>
        <v>4.0101906396130911</v>
      </c>
      <c r="J47" s="189">
        <f t="shared" si="15"/>
        <v>368.9375388444044</v>
      </c>
      <c r="K47" s="193">
        <f t="shared" si="16"/>
        <v>590.59191914593623</v>
      </c>
      <c r="L47" s="192">
        <f t="shared" si="17"/>
        <v>-221.65438030153183</v>
      </c>
      <c r="M47" s="189">
        <f t="shared" si="7"/>
        <v>-18.171329708475938</v>
      </c>
      <c r="N47" s="190">
        <f t="shared" si="8"/>
        <v>-239.82571001000775</v>
      </c>
      <c r="O47" s="189">
        <v>0</v>
      </c>
      <c r="P47" s="189">
        <v>0</v>
      </c>
      <c r="Q47" s="189">
        <v>0</v>
      </c>
      <c r="R47" s="190">
        <f t="shared" si="9"/>
        <v>-239.82571001000775</v>
      </c>
    </row>
    <row r="48" spans="1:18" x14ac:dyDescent="0.25">
      <c r="A48" s="147">
        <v>5</v>
      </c>
      <c r="B48" s="182">
        <f t="shared" si="13"/>
        <v>45047</v>
      </c>
      <c r="C48" s="202">
        <f t="shared" si="14"/>
        <v>45082</v>
      </c>
      <c r="D48" s="202">
        <f t="shared" si="14"/>
        <v>45103</v>
      </c>
      <c r="E48" s="191" t="s">
        <v>80</v>
      </c>
      <c r="F48" s="147">
        <v>9</v>
      </c>
      <c r="G48" s="184">
        <v>104</v>
      </c>
      <c r="H48" s="185">
        <f t="shared" si="5"/>
        <v>6.4194773820210456</v>
      </c>
      <c r="I48" s="185">
        <f t="shared" si="1"/>
        <v>4.0101906396130911</v>
      </c>
      <c r="J48" s="189">
        <f t="shared" si="15"/>
        <v>417.05982651976149</v>
      </c>
      <c r="K48" s="193">
        <f t="shared" si="16"/>
        <v>667.62564773018869</v>
      </c>
      <c r="L48" s="192">
        <f t="shared" si="17"/>
        <v>-250.5658212104272</v>
      </c>
      <c r="M48" s="189">
        <f t="shared" si="7"/>
        <v>-20.541503148711925</v>
      </c>
      <c r="N48" s="190">
        <f t="shared" si="8"/>
        <v>-271.10732435913911</v>
      </c>
      <c r="O48" s="189">
        <v>0</v>
      </c>
      <c r="P48" s="189">
        <v>0</v>
      </c>
      <c r="Q48" s="189">
        <v>0</v>
      </c>
      <c r="R48" s="190">
        <f t="shared" si="9"/>
        <v>-271.10732435913911</v>
      </c>
    </row>
    <row r="49" spans="1:18" x14ac:dyDescent="0.25">
      <c r="A49" s="147">
        <v>6</v>
      </c>
      <c r="B49" s="182">
        <f t="shared" si="13"/>
        <v>45078</v>
      </c>
      <c r="C49" s="202">
        <f t="shared" si="14"/>
        <v>45112</v>
      </c>
      <c r="D49" s="202">
        <f t="shared" si="14"/>
        <v>45131</v>
      </c>
      <c r="E49" s="191" t="s">
        <v>80</v>
      </c>
      <c r="F49" s="147">
        <v>9</v>
      </c>
      <c r="G49" s="184">
        <v>156</v>
      </c>
      <c r="H49" s="185">
        <f t="shared" si="5"/>
        <v>6.4194773820210456</v>
      </c>
      <c r="I49" s="185">
        <f t="shared" si="1"/>
        <v>4.0101906396130911</v>
      </c>
      <c r="J49" s="189">
        <f t="shared" si="15"/>
        <v>625.58973977964217</v>
      </c>
      <c r="K49" s="193">
        <f t="shared" si="16"/>
        <v>1001.4384715952831</v>
      </c>
      <c r="L49" s="192">
        <f t="shared" si="17"/>
        <v>-375.84873181564092</v>
      </c>
      <c r="M49" s="189">
        <f t="shared" si="7"/>
        <v>-30.812254723067895</v>
      </c>
      <c r="N49" s="190">
        <f t="shared" si="8"/>
        <v>-406.66098653870881</v>
      </c>
      <c r="O49" s="189">
        <v>0</v>
      </c>
      <c r="P49" s="189">
        <v>0</v>
      </c>
      <c r="Q49" s="189">
        <v>0</v>
      </c>
      <c r="R49" s="190">
        <f t="shared" si="9"/>
        <v>-406.66098653870881</v>
      </c>
    </row>
    <row r="50" spans="1:18" x14ac:dyDescent="0.25">
      <c r="A50" s="110">
        <v>7</v>
      </c>
      <c r="B50" s="182">
        <f t="shared" si="13"/>
        <v>45108</v>
      </c>
      <c r="C50" s="202">
        <f t="shared" si="14"/>
        <v>45141</v>
      </c>
      <c r="D50" s="202">
        <f t="shared" si="14"/>
        <v>45162</v>
      </c>
      <c r="E50" s="191" t="s">
        <v>80</v>
      </c>
      <c r="F50" s="147">
        <v>9</v>
      </c>
      <c r="G50" s="184">
        <v>155</v>
      </c>
      <c r="H50" s="185">
        <f t="shared" si="5"/>
        <v>6.4194773820210456</v>
      </c>
      <c r="I50" s="185">
        <f t="shared" si="1"/>
        <v>4.0101906396130911</v>
      </c>
      <c r="J50" s="189">
        <f t="shared" si="15"/>
        <v>621.57954914002914</v>
      </c>
      <c r="K50" s="193">
        <f t="shared" si="16"/>
        <v>995.01899421326209</v>
      </c>
      <c r="L50" s="192">
        <f t="shared" si="17"/>
        <v>-373.43944507323295</v>
      </c>
      <c r="M50" s="189">
        <f t="shared" si="7"/>
        <v>-30.614740269714893</v>
      </c>
      <c r="N50" s="190">
        <f t="shared" si="8"/>
        <v>-404.05418534294785</v>
      </c>
      <c r="O50" s="189">
        <v>0</v>
      </c>
      <c r="P50" s="189">
        <v>0</v>
      </c>
      <c r="Q50" s="189">
        <v>0</v>
      </c>
      <c r="R50" s="190">
        <f t="shared" si="9"/>
        <v>-404.05418534294785</v>
      </c>
    </row>
    <row r="51" spans="1:18" x14ac:dyDescent="0.25">
      <c r="A51" s="147">
        <v>8</v>
      </c>
      <c r="B51" s="182">
        <f t="shared" si="13"/>
        <v>45139</v>
      </c>
      <c r="C51" s="202">
        <f t="shared" si="14"/>
        <v>45174</v>
      </c>
      <c r="D51" s="202">
        <f t="shared" si="14"/>
        <v>45194</v>
      </c>
      <c r="E51" s="191" t="s">
        <v>80</v>
      </c>
      <c r="F51" s="147">
        <v>9</v>
      </c>
      <c r="G51" s="184">
        <v>159</v>
      </c>
      <c r="H51" s="185">
        <f t="shared" si="5"/>
        <v>6.4194773820210456</v>
      </c>
      <c r="I51" s="185">
        <f t="shared" si="1"/>
        <v>4.0101906396130911</v>
      </c>
      <c r="J51" s="189">
        <f t="shared" si="15"/>
        <v>637.62031169848149</v>
      </c>
      <c r="K51" s="193">
        <f t="shared" si="16"/>
        <v>1020.6969037413462</v>
      </c>
      <c r="L51" s="192">
        <f t="shared" si="17"/>
        <v>-383.07659204286472</v>
      </c>
      <c r="M51" s="189">
        <f t="shared" si="7"/>
        <v>-31.404798083126888</v>
      </c>
      <c r="N51" s="190">
        <f t="shared" si="8"/>
        <v>-414.4813901259916</v>
      </c>
      <c r="O51" s="189">
        <v>0</v>
      </c>
      <c r="P51" s="189">
        <v>0</v>
      </c>
      <c r="Q51" s="189">
        <v>0</v>
      </c>
      <c r="R51" s="190">
        <f t="shared" si="9"/>
        <v>-414.4813901259916</v>
      </c>
    </row>
    <row r="52" spans="1:18" x14ac:dyDescent="0.25">
      <c r="A52" s="147">
        <v>9</v>
      </c>
      <c r="B52" s="182">
        <f t="shared" si="13"/>
        <v>45170</v>
      </c>
      <c r="C52" s="202">
        <f t="shared" si="14"/>
        <v>45203</v>
      </c>
      <c r="D52" s="202">
        <f t="shared" si="14"/>
        <v>45223</v>
      </c>
      <c r="E52" s="191" t="s">
        <v>80</v>
      </c>
      <c r="F52" s="147">
        <v>9</v>
      </c>
      <c r="G52" s="184">
        <v>144</v>
      </c>
      <c r="H52" s="185">
        <f t="shared" si="5"/>
        <v>6.4194773820210456</v>
      </c>
      <c r="I52" s="185">
        <f t="shared" si="1"/>
        <v>4.0101906396130911</v>
      </c>
      <c r="J52" s="189">
        <f t="shared" si="15"/>
        <v>577.46745210428514</v>
      </c>
      <c r="K52" s="193">
        <f t="shared" si="16"/>
        <v>924.40474301103052</v>
      </c>
      <c r="L52" s="192">
        <f t="shared" si="17"/>
        <v>-346.93729090674537</v>
      </c>
      <c r="M52" s="189">
        <f t="shared" si="7"/>
        <v>-28.4420812828319</v>
      </c>
      <c r="N52" s="190">
        <f t="shared" si="8"/>
        <v>-375.37937218957728</v>
      </c>
      <c r="O52" s="189">
        <v>0</v>
      </c>
      <c r="P52" s="189">
        <v>0</v>
      </c>
      <c r="Q52" s="189">
        <v>0</v>
      </c>
      <c r="R52" s="190">
        <f t="shared" si="9"/>
        <v>-375.37937218957728</v>
      </c>
    </row>
    <row r="53" spans="1:18" x14ac:dyDescent="0.25">
      <c r="A53" s="110">
        <v>10</v>
      </c>
      <c r="B53" s="182">
        <f t="shared" si="13"/>
        <v>45200</v>
      </c>
      <c r="C53" s="202">
        <f t="shared" si="14"/>
        <v>45233</v>
      </c>
      <c r="D53" s="202">
        <f t="shared" si="14"/>
        <v>45254</v>
      </c>
      <c r="E53" s="191" t="s">
        <v>80</v>
      </c>
      <c r="F53" s="147">
        <v>9</v>
      </c>
      <c r="G53" s="184">
        <v>117</v>
      </c>
      <c r="H53" s="185">
        <f t="shared" si="5"/>
        <v>6.4194773820210456</v>
      </c>
      <c r="I53" s="185">
        <f t="shared" si="1"/>
        <v>4.0101906396130911</v>
      </c>
      <c r="J53" s="189">
        <f t="shared" si="15"/>
        <v>469.19230483473166</v>
      </c>
      <c r="K53" s="193">
        <f t="shared" si="16"/>
        <v>751.07885369646237</v>
      </c>
      <c r="L53" s="192">
        <f t="shared" si="17"/>
        <v>-281.88654886173072</v>
      </c>
      <c r="M53" s="189">
        <f t="shared" si="7"/>
        <v>-23.109191042300921</v>
      </c>
      <c r="N53" s="190">
        <f t="shared" si="8"/>
        <v>-304.99573990403167</v>
      </c>
      <c r="O53" s="189">
        <v>0</v>
      </c>
      <c r="P53" s="189">
        <v>0</v>
      </c>
      <c r="Q53" s="189">
        <v>0</v>
      </c>
      <c r="R53" s="190">
        <f t="shared" si="9"/>
        <v>-304.99573990403167</v>
      </c>
    </row>
    <row r="54" spans="1:18" x14ac:dyDescent="0.25">
      <c r="A54" s="147">
        <v>11</v>
      </c>
      <c r="B54" s="182">
        <f t="shared" si="13"/>
        <v>45231</v>
      </c>
      <c r="C54" s="202">
        <f t="shared" si="14"/>
        <v>45266</v>
      </c>
      <c r="D54" s="202">
        <f t="shared" si="14"/>
        <v>45285</v>
      </c>
      <c r="E54" s="191" t="s">
        <v>80</v>
      </c>
      <c r="F54" s="147">
        <v>9</v>
      </c>
      <c r="G54" s="184">
        <v>134</v>
      </c>
      <c r="H54" s="185">
        <f t="shared" si="5"/>
        <v>6.4194773820210456</v>
      </c>
      <c r="I54" s="185">
        <f t="shared" si="1"/>
        <v>4.0101906396130911</v>
      </c>
      <c r="J54" s="189">
        <f t="shared" si="15"/>
        <v>537.36554570815417</v>
      </c>
      <c r="K54" s="193">
        <f t="shared" si="16"/>
        <v>860.20996919082006</v>
      </c>
      <c r="L54" s="192">
        <f t="shared" si="17"/>
        <v>-322.84442348266589</v>
      </c>
      <c r="M54" s="189">
        <f t="shared" si="7"/>
        <v>-26.466936749301908</v>
      </c>
      <c r="N54" s="190">
        <f t="shared" si="8"/>
        <v>-349.3113602319678</v>
      </c>
      <c r="O54" s="189">
        <v>0</v>
      </c>
      <c r="P54" s="189">
        <v>0</v>
      </c>
      <c r="Q54" s="189">
        <v>0</v>
      </c>
      <c r="R54" s="190">
        <f t="shared" si="9"/>
        <v>-349.3113602319678</v>
      </c>
    </row>
    <row r="55" spans="1:18" x14ac:dyDescent="0.25">
      <c r="A55" s="147">
        <v>12</v>
      </c>
      <c r="B55" s="182">
        <f t="shared" si="13"/>
        <v>45261</v>
      </c>
      <c r="C55" s="202">
        <f t="shared" si="14"/>
        <v>45294</v>
      </c>
      <c r="D55" s="202">
        <f t="shared" si="14"/>
        <v>45315</v>
      </c>
      <c r="E55" s="191" t="s">
        <v>80</v>
      </c>
      <c r="F55" s="147">
        <v>9</v>
      </c>
      <c r="G55" s="184">
        <v>145</v>
      </c>
      <c r="H55" s="194">
        <f t="shared" si="5"/>
        <v>6.4194773820210456</v>
      </c>
      <c r="I55" s="194">
        <f t="shared" si="1"/>
        <v>4.0101906396130911</v>
      </c>
      <c r="J55" s="195">
        <f t="shared" si="15"/>
        <v>581.47764274389817</v>
      </c>
      <c r="K55" s="196">
        <f t="shared" si="16"/>
        <v>930.82422039305163</v>
      </c>
      <c r="L55" s="197">
        <f t="shared" si="17"/>
        <v>-349.34657764915346</v>
      </c>
      <c r="M55" s="189">
        <f t="shared" si="7"/>
        <v>-28.639595736184901</v>
      </c>
      <c r="N55" s="190">
        <f t="shared" si="8"/>
        <v>-377.98617338533836</v>
      </c>
      <c r="O55" s="189">
        <v>0</v>
      </c>
      <c r="P55" s="189">
        <v>0</v>
      </c>
      <c r="Q55" s="189">
        <v>0</v>
      </c>
      <c r="R55" s="190">
        <f t="shared" si="9"/>
        <v>-377.98617338533836</v>
      </c>
    </row>
    <row r="56" spans="1:18" s="203" customFormat="1" x14ac:dyDescent="0.25">
      <c r="A56" s="110">
        <v>1</v>
      </c>
      <c r="B56" s="198">
        <f t="shared" si="4"/>
        <v>44927</v>
      </c>
      <c r="C56" s="199">
        <f t="shared" ref="C56:D67" si="18">+C32</f>
        <v>44960</v>
      </c>
      <c r="D56" s="199">
        <f t="shared" si="18"/>
        <v>44981</v>
      </c>
      <c r="E56" s="200" t="s">
        <v>14</v>
      </c>
      <c r="F56" s="201">
        <v>9</v>
      </c>
      <c r="G56" s="184">
        <v>828</v>
      </c>
      <c r="H56" s="185">
        <f t="shared" si="5"/>
        <v>6.4194773820210456</v>
      </c>
      <c r="I56" s="185">
        <f t="shared" si="1"/>
        <v>4.0101906396130911</v>
      </c>
      <c r="J56" s="186">
        <f t="shared" si="2"/>
        <v>3320.4378495996393</v>
      </c>
      <c r="K56" s="187">
        <f t="shared" si="11"/>
        <v>5315.327272313426</v>
      </c>
      <c r="L56" s="188">
        <f t="shared" si="12"/>
        <v>-1994.8894227137866</v>
      </c>
      <c r="M56" s="189">
        <f t="shared" si="7"/>
        <v>-163.54196737628342</v>
      </c>
      <c r="N56" s="190">
        <f t="shared" si="8"/>
        <v>-2158.4313900900702</v>
      </c>
      <c r="O56" s="189">
        <v>0</v>
      </c>
      <c r="P56" s="189">
        <v>0</v>
      </c>
      <c r="Q56" s="189">
        <v>0</v>
      </c>
      <c r="R56" s="190">
        <f t="shared" si="9"/>
        <v>-2158.4313900900702</v>
      </c>
    </row>
    <row r="57" spans="1:18" x14ac:dyDescent="0.25">
      <c r="A57" s="147">
        <v>2</v>
      </c>
      <c r="B57" s="182">
        <f t="shared" si="4"/>
        <v>44958</v>
      </c>
      <c r="C57" s="202">
        <f t="shared" si="18"/>
        <v>44988</v>
      </c>
      <c r="D57" s="202">
        <f t="shared" si="18"/>
        <v>45009</v>
      </c>
      <c r="E57" s="191" t="s">
        <v>14</v>
      </c>
      <c r="F57" s="147">
        <v>9</v>
      </c>
      <c r="G57" s="184">
        <v>786</v>
      </c>
      <c r="H57" s="185">
        <f t="shared" si="5"/>
        <v>6.4194773820210456</v>
      </c>
      <c r="I57" s="185">
        <f t="shared" si="1"/>
        <v>4.0101906396130911</v>
      </c>
      <c r="J57" s="186">
        <f t="shared" si="2"/>
        <v>3152.0098427358894</v>
      </c>
      <c r="K57" s="187">
        <f t="shared" si="11"/>
        <v>5045.7092222685415</v>
      </c>
      <c r="L57" s="188">
        <f t="shared" si="12"/>
        <v>-1893.6993795326521</v>
      </c>
      <c r="M57" s="189">
        <f t="shared" si="7"/>
        <v>-155.24636033545744</v>
      </c>
      <c r="N57" s="190">
        <f t="shared" si="8"/>
        <v>-2048.9457398681097</v>
      </c>
      <c r="O57" s="189">
        <v>0</v>
      </c>
      <c r="P57" s="189">
        <v>0</v>
      </c>
      <c r="Q57" s="189">
        <v>0</v>
      </c>
      <c r="R57" s="190">
        <f t="shared" si="9"/>
        <v>-2048.9457398681097</v>
      </c>
    </row>
    <row r="58" spans="1:18" x14ac:dyDescent="0.25">
      <c r="A58" s="147">
        <v>3</v>
      </c>
      <c r="B58" s="182">
        <f t="shared" si="4"/>
        <v>44986</v>
      </c>
      <c r="C58" s="202">
        <f t="shared" si="18"/>
        <v>45021</v>
      </c>
      <c r="D58" s="202">
        <f t="shared" si="18"/>
        <v>45040</v>
      </c>
      <c r="E58" s="191" t="s">
        <v>14</v>
      </c>
      <c r="F58" s="147">
        <v>9</v>
      </c>
      <c r="G58" s="184">
        <v>702</v>
      </c>
      <c r="H58" s="185">
        <f t="shared" si="5"/>
        <v>6.4194773820210456</v>
      </c>
      <c r="I58" s="185">
        <f t="shared" si="1"/>
        <v>4.0101906396130911</v>
      </c>
      <c r="J58" s="186">
        <f t="shared" si="2"/>
        <v>2815.1538290083899</v>
      </c>
      <c r="K58" s="187">
        <f t="shared" si="11"/>
        <v>4506.4731221787742</v>
      </c>
      <c r="L58" s="188">
        <f>+J58-K58</f>
        <v>-1691.3192931703843</v>
      </c>
      <c r="M58" s="189">
        <f t="shared" si="7"/>
        <v>-138.65514625380553</v>
      </c>
      <c r="N58" s="190">
        <f t="shared" si="8"/>
        <v>-1829.9744394241898</v>
      </c>
      <c r="O58" s="189">
        <v>0</v>
      </c>
      <c r="P58" s="189">
        <v>0</v>
      </c>
      <c r="Q58" s="189">
        <v>0</v>
      </c>
      <c r="R58" s="190">
        <f t="shared" si="9"/>
        <v>-1829.9744394241898</v>
      </c>
    </row>
    <row r="59" spans="1:18" x14ac:dyDescent="0.25">
      <c r="A59" s="110">
        <v>4</v>
      </c>
      <c r="B59" s="182">
        <f t="shared" si="4"/>
        <v>45017</v>
      </c>
      <c r="C59" s="202">
        <f t="shared" si="18"/>
        <v>45049</v>
      </c>
      <c r="D59" s="202">
        <f t="shared" si="18"/>
        <v>45070</v>
      </c>
      <c r="E59" s="191" t="s">
        <v>14</v>
      </c>
      <c r="F59" s="147">
        <v>9</v>
      </c>
      <c r="G59" s="184">
        <v>519</v>
      </c>
      <c r="H59" s="185">
        <f t="shared" si="5"/>
        <v>6.4194773820210456</v>
      </c>
      <c r="I59" s="185">
        <f t="shared" si="1"/>
        <v>4.0101906396130911</v>
      </c>
      <c r="J59" s="186">
        <f t="shared" si="2"/>
        <v>2081.2889419591943</v>
      </c>
      <c r="K59" s="187">
        <f t="shared" si="11"/>
        <v>3331.7087612689224</v>
      </c>
      <c r="L59" s="188">
        <f t="shared" ref="L59:L81" si="19">+J59-K59</f>
        <v>-1250.4198193097282</v>
      </c>
      <c r="M59" s="189">
        <f t="shared" si="7"/>
        <v>-102.51000129020663</v>
      </c>
      <c r="N59" s="190">
        <f t="shared" si="8"/>
        <v>-1352.9298205999348</v>
      </c>
      <c r="O59" s="189">
        <v>0</v>
      </c>
      <c r="P59" s="189">
        <v>0</v>
      </c>
      <c r="Q59" s="189">
        <v>0</v>
      </c>
      <c r="R59" s="190">
        <f t="shared" si="9"/>
        <v>-1352.9298205999348</v>
      </c>
    </row>
    <row r="60" spans="1:18" x14ac:dyDescent="0.25">
      <c r="A60" s="147">
        <v>5</v>
      </c>
      <c r="B60" s="182">
        <f t="shared" si="4"/>
        <v>45047</v>
      </c>
      <c r="C60" s="202">
        <f t="shared" si="18"/>
        <v>45082</v>
      </c>
      <c r="D60" s="202">
        <f t="shared" si="18"/>
        <v>45103</v>
      </c>
      <c r="E60" s="52" t="s">
        <v>14</v>
      </c>
      <c r="F60" s="147">
        <v>9</v>
      </c>
      <c r="G60" s="184">
        <v>720</v>
      </c>
      <c r="H60" s="185">
        <f t="shared" si="5"/>
        <v>6.4194773820210456</v>
      </c>
      <c r="I60" s="185">
        <f t="shared" si="1"/>
        <v>4.0101906396130911</v>
      </c>
      <c r="J60" s="186">
        <f t="shared" si="2"/>
        <v>2887.3372605214254</v>
      </c>
      <c r="K60" s="187">
        <f t="shared" si="11"/>
        <v>4622.0237150551529</v>
      </c>
      <c r="L60" s="188">
        <f t="shared" si="19"/>
        <v>-1734.6864545337276</v>
      </c>
      <c r="M60" s="189">
        <f t="shared" si="7"/>
        <v>-142.21040641415951</v>
      </c>
      <c r="N60" s="190">
        <f t="shared" si="8"/>
        <v>-1876.896860947887</v>
      </c>
      <c r="O60" s="189">
        <v>0</v>
      </c>
      <c r="P60" s="189">
        <v>0</v>
      </c>
      <c r="Q60" s="189">
        <v>0</v>
      </c>
      <c r="R60" s="190">
        <f t="shared" si="9"/>
        <v>-1876.896860947887</v>
      </c>
    </row>
    <row r="61" spans="1:18" x14ac:dyDescent="0.25">
      <c r="A61" s="147">
        <v>6</v>
      </c>
      <c r="B61" s="182">
        <f t="shared" si="4"/>
        <v>45078</v>
      </c>
      <c r="C61" s="202">
        <f t="shared" si="18"/>
        <v>45112</v>
      </c>
      <c r="D61" s="202">
        <f t="shared" si="18"/>
        <v>45131</v>
      </c>
      <c r="E61" s="52" t="s">
        <v>14</v>
      </c>
      <c r="F61" s="147">
        <v>9</v>
      </c>
      <c r="G61" s="184">
        <v>975</v>
      </c>
      <c r="H61" s="185">
        <f t="shared" si="5"/>
        <v>6.4194773820210456</v>
      </c>
      <c r="I61" s="185">
        <f t="shared" si="1"/>
        <v>4.0101906396130911</v>
      </c>
      <c r="J61" s="186">
        <f t="shared" si="2"/>
        <v>3909.9358736227637</v>
      </c>
      <c r="K61" s="187">
        <f t="shared" si="11"/>
        <v>6258.990447470519</v>
      </c>
      <c r="L61" s="192">
        <f t="shared" si="19"/>
        <v>-2349.0545738477554</v>
      </c>
      <c r="M61" s="189">
        <f t="shared" si="7"/>
        <v>-192.57659201917434</v>
      </c>
      <c r="N61" s="190">
        <f t="shared" si="8"/>
        <v>-2541.6311658669297</v>
      </c>
      <c r="O61" s="189">
        <v>0</v>
      </c>
      <c r="P61" s="189">
        <v>0</v>
      </c>
      <c r="Q61" s="189">
        <v>0</v>
      </c>
      <c r="R61" s="190">
        <f t="shared" si="9"/>
        <v>-2541.6311658669297</v>
      </c>
    </row>
    <row r="62" spans="1:18" x14ac:dyDescent="0.25">
      <c r="A62" s="110">
        <v>7</v>
      </c>
      <c r="B62" s="182">
        <f t="shared" si="4"/>
        <v>45108</v>
      </c>
      <c r="C62" s="202">
        <f t="shared" si="18"/>
        <v>45141</v>
      </c>
      <c r="D62" s="202">
        <f t="shared" si="18"/>
        <v>45162</v>
      </c>
      <c r="E62" s="52" t="s">
        <v>14</v>
      </c>
      <c r="F62" s="147">
        <v>9</v>
      </c>
      <c r="G62" s="184">
        <v>924</v>
      </c>
      <c r="H62" s="185">
        <f t="shared" si="5"/>
        <v>6.4194773820210456</v>
      </c>
      <c r="I62" s="185">
        <f t="shared" si="1"/>
        <v>4.0101906396130911</v>
      </c>
      <c r="J62" s="186">
        <f t="shared" si="2"/>
        <v>3705.416151002496</v>
      </c>
      <c r="K62" s="193">
        <f t="shared" si="11"/>
        <v>5931.5971009874465</v>
      </c>
      <c r="L62" s="192">
        <f t="shared" si="19"/>
        <v>-2226.1809499849505</v>
      </c>
      <c r="M62" s="189">
        <f t="shared" si="7"/>
        <v>-182.50335489817135</v>
      </c>
      <c r="N62" s="190">
        <f t="shared" si="8"/>
        <v>-2408.684304883122</v>
      </c>
      <c r="O62" s="189">
        <v>0</v>
      </c>
      <c r="P62" s="189">
        <v>0</v>
      </c>
      <c r="Q62" s="189">
        <v>0</v>
      </c>
      <c r="R62" s="190">
        <f t="shared" si="9"/>
        <v>-2408.684304883122</v>
      </c>
    </row>
    <row r="63" spans="1:18" x14ac:dyDescent="0.25">
      <c r="A63" s="147">
        <v>8</v>
      </c>
      <c r="B63" s="182">
        <f t="shared" si="4"/>
        <v>45139</v>
      </c>
      <c r="C63" s="202">
        <f t="shared" si="18"/>
        <v>45174</v>
      </c>
      <c r="D63" s="202">
        <f t="shared" si="18"/>
        <v>45194</v>
      </c>
      <c r="E63" s="52" t="s">
        <v>14</v>
      </c>
      <c r="F63" s="147">
        <v>9</v>
      </c>
      <c r="G63" s="184">
        <v>1053</v>
      </c>
      <c r="H63" s="185">
        <f t="shared" si="5"/>
        <v>6.4194773820210456</v>
      </c>
      <c r="I63" s="185">
        <f t="shared" si="1"/>
        <v>4.0101906396130911</v>
      </c>
      <c r="J63" s="186">
        <f t="shared" si="2"/>
        <v>4222.7307435125849</v>
      </c>
      <c r="K63" s="193">
        <f t="shared" si="11"/>
        <v>6759.7096832681609</v>
      </c>
      <c r="L63" s="192">
        <f t="shared" si="19"/>
        <v>-2536.978939755576</v>
      </c>
      <c r="M63" s="189">
        <f t="shared" si="7"/>
        <v>-207.98271938070829</v>
      </c>
      <c r="N63" s="190">
        <f t="shared" si="8"/>
        <v>-2744.9616591362842</v>
      </c>
      <c r="O63" s="189">
        <v>0</v>
      </c>
      <c r="P63" s="189">
        <v>0</v>
      </c>
      <c r="Q63" s="189">
        <v>0</v>
      </c>
      <c r="R63" s="190">
        <f t="shared" si="9"/>
        <v>-2744.9616591362842</v>
      </c>
    </row>
    <row r="64" spans="1:18" x14ac:dyDescent="0.25">
      <c r="A64" s="147">
        <v>9</v>
      </c>
      <c r="B64" s="182">
        <f t="shared" si="4"/>
        <v>45170</v>
      </c>
      <c r="C64" s="202">
        <f t="shared" si="18"/>
        <v>45203</v>
      </c>
      <c r="D64" s="202">
        <f t="shared" si="18"/>
        <v>45223</v>
      </c>
      <c r="E64" s="52" t="s">
        <v>14</v>
      </c>
      <c r="F64" s="147">
        <v>9</v>
      </c>
      <c r="G64" s="184">
        <v>905</v>
      </c>
      <c r="H64" s="185">
        <f t="shared" si="5"/>
        <v>6.4194773820210456</v>
      </c>
      <c r="I64" s="185">
        <f t="shared" ref="I64:I107" si="20">$J$3</f>
        <v>4.0101906396130911</v>
      </c>
      <c r="J64" s="186">
        <f t="shared" si="2"/>
        <v>3629.2225288498475</v>
      </c>
      <c r="K64" s="193">
        <f t="shared" si="11"/>
        <v>5809.6270307290461</v>
      </c>
      <c r="L64" s="192">
        <f t="shared" si="19"/>
        <v>-2180.4045018791985</v>
      </c>
      <c r="M64" s="189">
        <f t="shared" si="7"/>
        <v>-178.75058028446438</v>
      </c>
      <c r="N64" s="190">
        <f t="shared" si="8"/>
        <v>-2359.1550821636629</v>
      </c>
      <c r="O64" s="189">
        <v>0</v>
      </c>
      <c r="P64" s="189">
        <v>0</v>
      </c>
      <c r="Q64" s="189">
        <v>0</v>
      </c>
      <c r="R64" s="190">
        <f t="shared" si="9"/>
        <v>-2359.1550821636629</v>
      </c>
    </row>
    <row r="65" spans="1:18" x14ac:dyDescent="0.25">
      <c r="A65" s="110">
        <v>10</v>
      </c>
      <c r="B65" s="182">
        <f t="shared" si="4"/>
        <v>45200</v>
      </c>
      <c r="C65" s="202">
        <f t="shared" si="18"/>
        <v>45233</v>
      </c>
      <c r="D65" s="202">
        <f t="shared" si="18"/>
        <v>45254</v>
      </c>
      <c r="E65" s="52" t="s">
        <v>14</v>
      </c>
      <c r="F65" s="147">
        <v>9</v>
      </c>
      <c r="G65" s="184">
        <v>694</v>
      </c>
      <c r="H65" s="185">
        <f t="shared" si="5"/>
        <v>6.4194773820210456</v>
      </c>
      <c r="I65" s="185">
        <f t="shared" si="20"/>
        <v>4.0101906396130911</v>
      </c>
      <c r="J65" s="186">
        <f t="shared" si="2"/>
        <v>2783.0723038914853</v>
      </c>
      <c r="K65" s="193">
        <f t="shared" si="11"/>
        <v>4455.1173031226053</v>
      </c>
      <c r="L65" s="192">
        <f t="shared" si="19"/>
        <v>-1672.0449992311201</v>
      </c>
      <c r="M65" s="189">
        <f t="shared" si="7"/>
        <v>-137.07503062698152</v>
      </c>
      <c r="N65" s="190">
        <f t="shared" si="8"/>
        <v>-1809.1200298581016</v>
      </c>
      <c r="O65" s="189">
        <v>0</v>
      </c>
      <c r="P65" s="189">
        <v>0</v>
      </c>
      <c r="Q65" s="189">
        <v>0</v>
      </c>
      <c r="R65" s="190">
        <f t="shared" si="9"/>
        <v>-1809.1200298581016</v>
      </c>
    </row>
    <row r="66" spans="1:18" x14ac:dyDescent="0.25">
      <c r="A66" s="147">
        <v>11</v>
      </c>
      <c r="B66" s="182">
        <f t="shared" si="4"/>
        <v>45231</v>
      </c>
      <c r="C66" s="202">
        <f t="shared" si="18"/>
        <v>45266</v>
      </c>
      <c r="D66" s="202">
        <f t="shared" si="18"/>
        <v>45285</v>
      </c>
      <c r="E66" s="52" t="s">
        <v>14</v>
      </c>
      <c r="F66" s="147">
        <v>9</v>
      </c>
      <c r="G66" s="184">
        <v>736</v>
      </c>
      <c r="H66" s="185">
        <f t="shared" si="5"/>
        <v>6.4194773820210456</v>
      </c>
      <c r="I66" s="185">
        <f t="shared" si="20"/>
        <v>4.0101906396130911</v>
      </c>
      <c r="J66" s="186">
        <f t="shared" si="2"/>
        <v>2951.5003107552352</v>
      </c>
      <c r="K66" s="193">
        <f t="shared" si="11"/>
        <v>4724.7353531674898</v>
      </c>
      <c r="L66" s="192">
        <f t="shared" si="19"/>
        <v>-1773.2350424122546</v>
      </c>
      <c r="M66" s="189">
        <f t="shared" si="7"/>
        <v>-145.3706376678075</v>
      </c>
      <c r="N66" s="190">
        <f t="shared" si="8"/>
        <v>-1918.605680080062</v>
      </c>
      <c r="O66" s="189">
        <v>0</v>
      </c>
      <c r="P66" s="189">
        <v>0</v>
      </c>
      <c r="Q66" s="189">
        <v>0</v>
      </c>
      <c r="R66" s="190">
        <f t="shared" si="9"/>
        <v>-1918.605680080062</v>
      </c>
    </row>
    <row r="67" spans="1:18" s="206" customFormat="1" x14ac:dyDescent="0.25">
      <c r="A67" s="147">
        <v>12</v>
      </c>
      <c r="B67" s="204">
        <f t="shared" si="4"/>
        <v>45261</v>
      </c>
      <c r="C67" s="202">
        <f t="shared" si="18"/>
        <v>45294</v>
      </c>
      <c r="D67" s="202">
        <f t="shared" si="18"/>
        <v>45315</v>
      </c>
      <c r="E67" s="205" t="s">
        <v>14</v>
      </c>
      <c r="F67" s="158">
        <v>9</v>
      </c>
      <c r="G67" s="184">
        <v>713</v>
      </c>
      <c r="H67" s="194">
        <f t="shared" si="5"/>
        <v>6.4194773820210456</v>
      </c>
      <c r="I67" s="194">
        <f t="shared" si="20"/>
        <v>4.0101906396130911</v>
      </c>
      <c r="J67" s="195">
        <f t="shared" si="2"/>
        <v>2859.2659260441337</v>
      </c>
      <c r="K67" s="196">
        <f t="shared" si="11"/>
        <v>4577.0873733810058</v>
      </c>
      <c r="L67" s="197">
        <f t="shared" si="19"/>
        <v>-1717.8214473368721</v>
      </c>
      <c r="M67" s="189">
        <f t="shared" si="7"/>
        <v>-140.82780524068852</v>
      </c>
      <c r="N67" s="190">
        <f t="shared" si="8"/>
        <v>-1858.6492525775607</v>
      </c>
      <c r="O67" s="189">
        <v>0</v>
      </c>
      <c r="P67" s="189">
        <v>0</v>
      </c>
      <c r="Q67" s="189">
        <v>0</v>
      </c>
      <c r="R67" s="190">
        <f t="shared" si="9"/>
        <v>-1858.6492525775607</v>
      </c>
    </row>
    <row r="68" spans="1:18" x14ac:dyDescent="0.25">
      <c r="A68" s="110">
        <v>1</v>
      </c>
      <c r="B68" s="182">
        <f t="shared" si="4"/>
        <v>44927</v>
      </c>
      <c r="C68" s="199">
        <f t="shared" ref="C68:D79" si="21">+C56</f>
        <v>44960</v>
      </c>
      <c r="D68" s="199">
        <f t="shared" si="21"/>
        <v>44981</v>
      </c>
      <c r="E68" s="183" t="s">
        <v>82</v>
      </c>
      <c r="F68" s="110">
        <v>9</v>
      </c>
      <c r="G68" s="184">
        <v>44</v>
      </c>
      <c r="H68" s="185">
        <f t="shared" si="5"/>
        <v>6.4194773820210456</v>
      </c>
      <c r="I68" s="185">
        <f t="shared" si="20"/>
        <v>4.0101906396130911</v>
      </c>
      <c r="J68" s="186">
        <f t="shared" si="2"/>
        <v>176.448388142976</v>
      </c>
      <c r="K68" s="187">
        <f t="shared" si="11"/>
        <v>282.457004808926</v>
      </c>
      <c r="L68" s="188">
        <f t="shared" si="19"/>
        <v>-106.00861666595</v>
      </c>
      <c r="M68" s="189">
        <f t="shared" si="7"/>
        <v>-8.6906359475319697</v>
      </c>
      <c r="N68" s="190">
        <f t="shared" si="8"/>
        <v>-114.69925261348197</v>
      </c>
      <c r="O68" s="189">
        <v>0</v>
      </c>
      <c r="P68" s="189">
        <v>0</v>
      </c>
      <c r="Q68" s="189">
        <v>0</v>
      </c>
      <c r="R68" s="190">
        <f t="shared" si="9"/>
        <v>-114.69925261348197</v>
      </c>
    </row>
    <row r="69" spans="1:18" x14ac:dyDescent="0.25">
      <c r="A69" s="147">
        <v>2</v>
      </c>
      <c r="B69" s="182">
        <f t="shared" si="4"/>
        <v>44958</v>
      </c>
      <c r="C69" s="202">
        <f t="shared" si="21"/>
        <v>44988</v>
      </c>
      <c r="D69" s="202">
        <f t="shared" si="21"/>
        <v>45009</v>
      </c>
      <c r="E69" s="191" t="s">
        <v>82</v>
      </c>
      <c r="F69" s="147">
        <v>9</v>
      </c>
      <c r="G69" s="184">
        <v>42</v>
      </c>
      <c r="H69" s="185">
        <f t="shared" si="5"/>
        <v>6.4194773820210456</v>
      </c>
      <c r="I69" s="185">
        <f t="shared" si="20"/>
        <v>4.0101906396130911</v>
      </c>
      <c r="J69" s="186">
        <f t="shared" si="2"/>
        <v>168.42800686374983</v>
      </c>
      <c r="K69" s="187">
        <f t="shared" si="11"/>
        <v>269.61805004488389</v>
      </c>
      <c r="L69" s="188">
        <f t="shared" si="19"/>
        <v>-101.19004318113406</v>
      </c>
      <c r="M69" s="189">
        <f t="shared" si="7"/>
        <v>-8.2956070408259706</v>
      </c>
      <c r="N69" s="190">
        <f t="shared" si="8"/>
        <v>-109.48565022196003</v>
      </c>
      <c r="O69" s="189">
        <v>0</v>
      </c>
      <c r="P69" s="189">
        <v>0</v>
      </c>
      <c r="Q69" s="189">
        <v>0</v>
      </c>
      <c r="R69" s="190">
        <f t="shared" si="9"/>
        <v>-109.48565022196003</v>
      </c>
    </row>
    <row r="70" spans="1:18" x14ac:dyDescent="0.25">
      <c r="A70" s="147">
        <v>3</v>
      </c>
      <c r="B70" s="182">
        <f t="shared" si="4"/>
        <v>44986</v>
      </c>
      <c r="C70" s="202">
        <f t="shared" si="21"/>
        <v>45021</v>
      </c>
      <c r="D70" s="202">
        <f t="shared" si="21"/>
        <v>45040</v>
      </c>
      <c r="E70" s="191" t="s">
        <v>82</v>
      </c>
      <c r="F70" s="147">
        <v>9</v>
      </c>
      <c r="G70" s="184">
        <v>37</v>
      </c>
      <c r="H70" s="185">
        <f t="shared" si="5"/>
        <v>6.4194773820210456</v>
      </c>
      <c r="I70" s="185">
        <f t="shared" si="20"/>
        <v>4.0101906396130911</v>
      </c>
      <c r="J70" s="186">
        <f t="shared" si="2"/>
        <v>148.37705366568437</v>
      </c>
      <c r="K70" s="187">
        <f t="shared" si="11"/>
        <v>237.52066313477869</v>
      </c>
      <c r="L70" s="188">
        <f>+J70-K70</f>
        <v>-89.143609469094315</v>
      </c>
      <c r="M70" s="189">
        <f t="shared" si="7"/>
        <v>-7.3080347740609737</v>
      </c>
      <c r="N70" s="190">
        <f t="shared" si="8"/>
        <v>-96.451644243155286</v>
      </c>
      <c r="O70" s="189">
        <v>0</v>
      </c>
      <c r="P70" s="189">
        <v>0</v>
      </c>
      <c r="Q70" s="189">
        <v>0</v>
      </c>
      <c r="R70" s="190">
        <f t="shared" si="9"/>
        <v>-96.451644243155286</v>
      </c>
    </row>
    <row r="71" spans="1:18" x14ac:dyDescent="0.25">
      <c r="A71" s="110">
        <v>4</v>
      </c>
      <c r="B71" s="182">
        <f t="shared" si="4"/>
        <v>45017</v>
      </c>
      <c r="C71" s="202">
        <f t="shared" si="21"/>
        <v>45049</v>
      </c>
      <c r="D71" s="202">
        <f t="shared" si="21"/>
        <v>45070</v>
      </c>
      <c r="E71" s="191" t="s">
        <v>82</v>
      </c>
      <c r="F71" s="147">
        <v>9</v>
      </c>
      <c r="G71" s="184">
        <v>27</v>
      </c>
      <c r="H71" s="185">
        <f t="shared" si="5"/>
        <v>6.4194773820210456</v>
      </c>
      <c r="I71" s="185">
        <f t="shared" si="20"/>
        <v>4.0101906396130911</v>
      </c>
      <c r="J71" s="186">
        <f t="shared" si="2"/>
        <v>108.27514726955346</v>
      </c>
      <c r="K71" s="187">
        <f t="shared" si="11"/>
        <v>173.32588931456823</v>
      </c>
      <c r="L71" s="188">
        <f t="shared" ref="L71:L79" si="22">+J71-K71</f>
        <v>-65.050742045014772</v>
      </c>
      <c r="M71" s="189">
        <f t="shared" si="7"/>
        <v>-5.3328902405309817</v>
      </c>
      <c r="N71" s="190">
        <f t="shared" si="8"/>
        <v>-70.383632285545758</v>
      </c>
      <c r="O71" s="189">
        <v>0</v>
      </c>
      <c r="P71" s="189">
        <v>0</v>
      </c>
      <c r="Q71" s="189">
        <v>0</v>
      </c>
      <c r="R71" s="190">
        <f t="shared" si="9"/>
        <v>-70.383632285545758</v>
      </c>
    </row>
    <row r="72" spans="1:18" x14ac:dyDescent="0.25">
      <c r="A72" s="147">
        <v>5</v>
      </c>
      <c r="B72" s="182">
        <f t="shared" si="4"/>
        <v>45047</v>
      </c>
      <c r="C72" s="202">
        <f t="shared" si="21"/>
        <v>45082</v>
      </c>
      <c r="D72" s="202">
        <f t="shared" si="21"/>
        <v>45103</v>
      </c>
      <c r="E72" s="191" t="s">
        <v>82</v>
      </c>
      <c r="F72" s="147">
        <v>9</v>
      </c>
      <c r="G72" s="184">
        <v>42</v>
      </c>
      <c r="H72" s="185">
        <f t="shared" si="5"/>
        <v>6.4194773820210456</v>
      </c>
      <c r="I72" s="185">
        <f t="shared" si="20"/>
        <v>4.0101906396130911</v>
      </c>
      <c r="J72" s="186">
        <f t="shared" si="2"/>
        <v>168.42800686374983</v>
      </c>
      <c r="K72" s="187">
        <f t="shared" si="11"/>
        <v>269.61805004488389</v>
      </c>
      <c r="L72" s="188">
        <f t="shared" si="22"/>
        <v>-101.19004318113406</v>
      </c>
      <c r="M72" s="189">
        <f t="shared" si="7"/>
        <v>-8.2956070408259706</v>
      </c>
      <c r="N72" s="190">
        <f t="shared" si="8"/>
        <v>-109.48565022196003</v>
      </c>
      <c r="O72" s="189">
        <v>0</v>
      </c>
      <c r="P72" s="189">
        <v>0</v>
      </c>
      <c r="Q72" s="189">
        <v>0</v>
      </c>
      <c r="R72" s="190">
        <f t="shared" si="9"/>
        <v>-109.48565022196003</v>
      </c>
    </row>
    <row r="73" spans="1:18" x14ac:dyDescent="0.25">
      <c r="A73" s="147">
        <v>6</v>
      </c>
      <c r="B73" s="182">
        <f t="shared" si="4"/>
        <v>45078</v>
      </c>
      <c r="C73" s="202">
        <f t="shared" si="21"/>
        <v>45112</v>
      </c>
      <c r="D73" s="202">
        <f t="shared" si="21"/>
        <v>45131</v>
      </c>
      <c r="E73" s="191" t="s">
        <v>82</v>
      </c>
      <c r="F73" s="147">
        <v>9</v>
      </c>
      <c r="G73" s="184">
        <v>56</v>
      </c>
      <c r="H73" s="185">
        <f t="shared" si="5"/>
        <v>6.4194773820210456</v>
      </c>
      <c r="I73" s="185">
        <f t="shared" si="20"/>
        <v>4.0101906396130911</v>
      </c>
      <c r="J73" s="186">
        <f t="shared" si="2"/>
        <v>224.57067581833309</v>
      </c>
      <c r="K73" s="187">
        <f t="shared" si="11"/>
        <v>359.49073339317857</v>
      </c>
      <c r="L73" s="192">
        <f t="shared" si="22"/>
        <v>-134.92005757484549</v>
      </c>
      <c r="M73" s="189">
        <f t="shared" si="7"/>
        <v>-11.060809387767961</v>
      </c>
      <c r="N73" s="190">
        <f t="shared" si="8"/>
        <v>-145.98086696261345</v>
      </c>
      <c r="O73" s="189">
        <v>0</v>
      </c>
      <c r="P73" s="189">
        <v>0</v>
      </c>
      <c r="Q73" s="189">
        <v>0</v>
      </c>
      <c r="R73" s="190">
        <f t="shared" si="9"/>
        <v>-145.98086696261345</v>
      </c>
    </row>
    <row r="74" spans="1:18" x14ac:dyDescent="0.25">
      <c r="A74" s="110">
        <v>7</v>
      </c>
      <c r="B74" s="182">
        <f t="shared" si="4"/>
        <v>45108</v>
      </c>
      <c r="C74" s="202">
        <f t="shared" si="21"/>
        <v>45141</v>
      </c>
      <c r="D74" s="202">
        <f t="shared" si="21"/>
        <v>45162</v>
      </c>
      <c r="E74" s="191" t="s">
        <v>82</v>
      </c>
      <c r="F74" s="147">
        <v>9</v>
      </c>
      <c r="G74" s="184">
        <v>54</v>
      </c>
      <c r="H74" s="185">
        <f t="shared" si="5"/>
        <v>6.4194773820210456</v>
      </c>
      <c r="I74" s="185">
        <f t="shared" si="20"/>
        <v>4.0101906396130911</v>
      </c>
      <c r="J74" s="186">
        <f t="shared" si="2"/>
        <v>216.55029453910691</v>
      </c>
      <c r="K74" s="193">
        <f t="shared" si="11"/>
        <v>346.65177862913646</v>
      </c>
      <c r="L74" s="192">
        <f t="shared" si="22"/>
        <v>-130.10148409002954</v>
      </c>
      <c r="M74" s="189">
        <f t="shared" si="7"/>
        <v>-10.665780481061963</v>
      </c>
      <c r="N74" s="190">
        <f t="shared" si="8"/>
        <v>-140.76726457109152</v>
      </c>
      <c r="O74" s="189">
        <v>0</v>
      </c>
      <c r="P74" s="189">
        <v>0</v>
      </c>
      <c r="Q74" s="189">
        <v>0</v>
      </c>
      <c r="R74" s="190">
        <f t="shared" si="9"/>
        <v>-140.76726457109152</v>
      </c>
    </row>
    <row r="75" spans="1:18" x14ac:dyDescent="0.25">
      <c r="A75" s="147">
        <v>8</v>
      </c>
      <c r="B75" s="182">
        <f t="shared" si="4"/>
        <v>45139</v>
      </c>
      <c r="C75" s="202">
        <f t="shared" si="21"/>
        <v>45174</v>
      </c>
      <c r="D75" s="202">
        <f t="shared" si="21"/>
        <v>45194</v>
      </c>
      <c r="E75" s="191" t="s">
        <v>82</v>
      </c>
      <c r="F75" s="147">
        <v>9</v>
      </c>
      <c r="G75" s="184">
        <v>59</v>
      </c>
      <c r="H75" s="185">
        <f t="shared" si="5"/>
        <v>6.4194773820210456</v>
      </c>
      <c r="I75" s="185">
        <f t="shared" si="20"/>
        <v>4.0101906396130911</v>
      </c>
      <c r="J75" s="186">
        <f t="shared" si="2"/>
        <v>236.60124773717237</v>
      </c>
      <c r="K75" s="193">
        <f t="shared" si="11"/>
        <v>378.74916553924169</v>
      </c>
      <c r="L75" s="192">
        <f t="shared" si="22"/>
        <v>-142.14791780206932</v>
      </c>
      <c r="M75" s="189">
        <f t="shared" si="7"/>
        <v>-11.653352747826959</v>
      </c>
      <c r="N75" s="190">
        <f t="shared" si="8"/>
        <v>-153.80127054989629</v>
      </c>
      <c r="O75" s="189">
        <v>0</v>
      </c>
      <c r="P75" s="189">
        <v>0</v>
      </c>
      <c r="Q75" s="189">
        <v>0</v>
      </c>
      <c r="R75" s="190">
        <f t="shared" si="9"/>
        <v>-153.80127054989629</v>
      </c>
    </row>
    <row r="76" spans="1:18" x14ac:dyDescent="0.25">
      <c r="A76" s="147">
        <v>9</v>
      </c>
      <c r="B76" s="182">
        <f t="shared" si="4"/>
        <v>45170</v>
      </c>
      <c r="C76" s="202">
        <f t="shared" si="21"/>
        <v>45203</v>
      </c>
      <c r="D76" s="202">
        <f t="shared" si="21"/>
        <v>45223</v>
      </c>
      <c r="E76" s="191" t="s">
        <v>82</v>
      </c>
      <c r="F76" s="147">
        <v>9</v>
      </c>
      <c r="G76" s="184">
        <v>54</v>
      </c>
      <c r="H76" s="185">
        <f t="shared" si="5"/>
        <v>6.4194773820210456</v>
      </c>
      <c r="I76" s="185">
        <f t="shared" si="20"/>
        <v>4.0101906396130911</v>
      </c>
      <c r="J76" s="186">
        <f t="shared" si="2"/>
        <v>216.55029453910691</v>
      </c>
      <c r="K76" s="193">
        <f t="shared" si="11"/>
        <v>346.65177862913646</v>
      </c>
      <c r="L76" s="192">
        <f t="shared" si="22"/>
        <v>-130.10148409002954</v>
      </c>
      <c r="M76" s="189">
        <f t="shared" si="7"/>
        <v>-10.665780481061963</v>
      </c>
      <c r="N76" s="190">
        <f t="shared" si="8"/>
        <v>-140.76726457109152</v>
      </c>
      <c r="O76" s="189">
        <v>0</v>
      </c>
      <c r="P76" s="189">
        <v>0</v>
      </c>
      <c r="Q76" s="189">
        <v>0</v>
      </c>
      <c r="R76" s="190">
        <f t="shared" si="9"/>
        <v>-140.76726457109152</v>
      </c>
    </row>
    <row r="77" spans="1:18" x14ac:dyDescent="0.25">
      <c r="A77" s="110">
        <v>10</v>
      </c>
      <c r="B77" s="182">
        <f t="shared" si="4"/>
        <v>45200</v>
      </c>
      <c r="C77" s="202">
        <f t="shared" si="21"/>
        <v>45233</v>
      </c>
      <c r="D77" s="202">
        <f t="shared" si="21"/>
        <v>45254</v>
      </c>
      <c r="E77" s="191" t="s">
        <v>82</v>
      </c>
      <c r="F77" s="147">
        <v>9</v>
      </c>
      <c r="G77" s="184">
        <v>37</v>
      </c>
      <c r="H77" s="185">
        <f t="shared" si="5"/>
        <v>6.4194773820210456</v>
      </c>
      <c r="I77" s="185">
        <f t="shared" si="20"/>
        <v>4.0101906396130911</v>
      </c>
      <c r="J77" s="186">
        <f t="shared" si="2"/>
        <v>148.37705366568437</v>
      </c>
      <c r="K77" s="193">
        <f t="shared" si="11"/>
        <v>237.52066313477869</v>
      </c>
      <c r="L77" s="192">
        <f t="shared" si="22"/>
        <v>-89.143609469094315</v>
      </c>
      <c r="M77" s="189">
        <f t="shared" si="7"/>
        <v>-7.3080347740609737</v>
      </c>
      <c r="N77" s="190">
        <f t="shared" si="8"/>
        <v>-96.451644243155286</v>
      </c>
      <c r="O77" s="189">
        <v>0</v>
      </c>
      <c r="P77" s="189">
        <v>0</v>
      </c>
      <c r="Q77" s="189">
        <v>0</v>
      </c>
      <c r="R77" s="190">
        <f t="shared" si="9"/>
        <v>-96.451644243155286</v>
      </c>
    </row>
    <row r="78" spans="1:18" x14ac:dyDescent="0.25">
      <c r="A78" s="147">
        <v>11</v>
      </c>
      <c r="B78" s="182">
        <f t="shared" si="4"/>
        <v>45231</v>
      </c>
      <c r="C78" s="202">
        <f t="shared" si="21"/>
        <v>45266</v>
      </c>
      <c r="D78" s="202">
        <f t="shared" si="21"/>
        <v>45285</v>
      </c>
      <c r="E78" s="191" t="s">
        <v>82</v>
      </c>
      <c r="F78" s="147">
        <v>9</v>
      </c>
      <c r="G78" s="184">
        <v>38</v>
      </c>
      <c r="H78" s="185">
        <f t="shared" si="5"/>
        <v>6.4194773820210456</v>
      </c>
      <c r="I78" s="185">
        <f t="shared" si="20"/>
        <v>4.0101906396130911</v>
      </c>
      <c r="J78" s="186">
        <f t="shared" si="2"/>
        <v>152.38724430529746</v>
      </c>
      <c r="K78" s="193">
        <f>+$G78*H78</f>
        <v>243.94014051679974</v>
      </c>
      <c r="L78" s="192">
        <f t="shared" si="22"/>
        <v>-91.552896211502286</v>
      </c>
      <c r="M78" s="189">
        <f t="shared" si="7"/>
        <v>-7.5055492274139741</v>
      </c>
      <c r="N78" s="190">
        <f t="shared" si="8"/>
        <v>-99.058445438916266</v>
      </c>
      <c r="O78" s="189">
        <v>0</v>
      </c>
      <c r="P78" s="189">
        <v>0</v>
      </c>
      <c r="Q78" s="189">
        <v>0</v>
      </c>
      <c r="R78" s="190">
        <f t="shared" si="9"/>
        <v>-99.058445438916266</v>
      </c>
    </row>
    <row r="79" spans="1:18" s="206" customFormat="1" x14ac:dyDescent="0.25">
      <c r="A79" s="147">
        <v>12</v>
      </c>
      <c r="B79" s="204">
        <f t="shared" si="4"/>
        <v>45261</v>
      </c>
      <c r="C79" s="207">
        <f t="shared" si="21"/>
        <v>45294</v>
      </c>
      <c r="D79" s="207">
        <f t="shared" si="21"/>
        <v>45315</v>
      </c>
      <c r="E79" s="208" t="s">
        <v>82</v>
      </c>
      <c r="F79" s="158">
        <v>9</v>
      </c>
      <c r="G79" s="184">
        <v>35</v>
      </c>
      <c r="H79" s="194">
        <f t="shared" si="5"/>
        <v>6.4194773820210456</v>
      </c>
      <c r="I79" s="194">
        <f t="shared" si="20"/>
        <v>4.0101906396130911</v>
      </c>
      <c r="J79" s="195">
        <f t="shared" si="2"/>
        <v>140.3566723864582</v>
      </c>
      <c r="K79" s="196">
        <f>+$G79*H79</f>
        <v>224.6817083707366</v>
      </c>
      <c r="L79" s="197">
        <f t="shared" si="22"/>
        <v>-84.325035984278401</v>
      </c>
      <c r="M79" s="189">
        <f t="shared" si="7"/>
        <v>-6.9130058673549755</v>
      </c>
      <c r="N79" s="190">
        <f t="shared" si="8"/>
        <v>-91.238041851633369</v>
      </c>
      <c r="O79" s="189">
        <v>0</v>
      </c>
      <c r="P79" s="189">
        <v>0</v>
      </c>
      <c r="Q79" s="189">
        <v>0</v>
      </c>
      <c r="R79" s="190">
        <f t="shared" si="9"/>
        <v>-91.238041851633369</v>
      </c>
    </row>
    <row r="80" spans="1:18" s="50" customFormat="1" ht="12.75" customHeight="1" x14ac:dyDescent="0.25">
      <c r="A80" s="110">
        <v>1</v>
      </c>
      <c r="B80" s="182">
        <f t="shared" si="4"/>
        <v>44927</v>
      </c>
      <c r="C80" s="199">
        <f t="shared" ref="C80:D91" si="23">+C56</f>
        <v>44960</v>
      </c>
      <c r="D80" s="199">
        <f t="shared" si="23"/>
        <v>44981</v>
      </c>
      <c r="E80" s="183" t="s">
        <v>9</v>
      </c>
      <c r="F80" s="110">
        <v>9</v>
      </c>
      <c r="G80" s="184">
        <v>53</v>
      </c>
      <c r="H80" s="185">
        <f t="shared" si="5"/>
        <v>6.4194773820210456</v>
      </c>
      <c r="I80" s="185">
        <f t="shared" si="20"/>
        <v>4.0101906396130911</v>
      </c>
      <c r="J80" s="186">
        <f t="shared" si="2"/>
        <v>212.54010389949383</v>
      </c>
      <c r="K80" s="187">
        <f t="shared" si="11"/>
        <v>340.2323012471154</v>
      </c>
      <c r="L80" s="188">
        <f t="shared" si="19"/>
        <v>-127.69219734762157</v>
      </c>
      <c r="M80" s="189">
        <f t="shared" si="7"/>
        <v>-10.468266027708964</v>
      </c>
      <c r="N80" s="190">
        <f t="shared" si="8"/>
        <v>-138.16046337533055</v>
      </c>
      <c r="O80" s="189">
        <v>0</v>
      </c>
      <c r="P80" s="189">
        <v>0</v>
      </c>
      <c r="Q80" s="189">
        <v>0</v>
      </c>
      <c r="R80" s="190">
        <f t="shared" si="9"/>
        <v>-138.16046337533055</v>
      </c>
    </row>
    <row r="81" spans="1:18" x14ac:dyDescent="0.25">
      <c r="A81" s="147">
        <v>2</v>
      </c>
      <c r="B81" s="182">
        <f t="shared" si="4"/>
        <v>44958</v>
      </c>
      <c r="C81" s="202">
        <f t="shared" si="23"/>
        <v>44988</v>
      </c>
      <c r="D81" s="202">
        <f t="shared" si="23"/>
        <v>45009</v>
      </c>
      <c r="E81" s="191" t="s">
        <v>9</v>
      </c>
      <c r="F81" s="147">
        <v>9</v>
      </c>
      <c r="G81" s="184">
        <v>55</v>
      </c>
      <c r="H81" s="185">
        <f t="shared" si="5"/>
        <v>6.4194773820210456</v>
      </c>
      <c r="I81" s="185">
        <f t="shared" si="20"/>
        <v>4.0101906396130911</v>
      </c>
      <c r="J81" s="186">
        <f t="shared" si="2"/>
        <v>220.56048517872</v>
      </c>
      <c r="K81" s="187">
        <f t="shared" si="11"/>
        <v>353.07125601115752</v>
      </c>
      <c r="L81" s="188">
        <f t="shared" si="19"/>
        <v>-132.51077083243752</v>
      </c>
      <c r="M81" s="189">
        <f t="shared" si="7"/>
        <v>-10.863294934414963</v>
      </c>
      <c r="N81" s="190">
        <f t="shared" si="8"/>
        <v>-143.37406576685248</v>
      </c>
      <c r="O81" s="189">
        <v>0</v>
      </c>
      <c r="P81" s="189">
        <v>0</v>
      </c>
      <c r="Q81" s="189">
        <v>0</v>
      </c>
      <c r="R81" s="190">
        <f t="shared" si="9"/>
        <v>-143.37406576685248</v>
      </c>
    </row>
    <row r="82" spans="1:18" x14ac:dyDescent="0.25">
      <c r="A82" s="147">
        <v>3</v>
      </c>
      <c r="B82" s="182">
        <f t="shared" si="4"/>
        <v>44986</v>
      </c>
      <c r="C82" s="202">
        <f t="shared" si="23"/>
        <v>45021</v>
      </c>
      <c r="D82" s="202">
        <f t="shared" si="23"/>
        <v>45040</v>
      </c>
      <c r="E82" s="191" t="s">
        <v>9</v>
      </c>
      <c r="F82" s="147">
        <v>9</v>
      </c>
      <c r="G82" s="184">
        <v>46</v>
      </c>
      <c r="H82" s="185">
        <f t="shared" si="5"/>
        <v>6.4194773820210456</v>
      </c>
      <c r="I82" s="185">
        <f t="shared" si="20"/>
        <v>4.0101906396130911</v>
      </c>
      <c r="J82" s="186">
        <f t="shared" si="2"/>
        <v>184.4687694222022</v>
      </c>
      <c r="K82" s="187">
        <f t="shared" si="11"/>
        <v>295.29595957296812</v>
      </c>
      <c r="L82" s="188">
        <f>+J82-K82</f>
        <v>-110.82719015076592</v>
      </c>
      <c r="M82" s="189">
        <f t="shared" si="7"/>
        <v>-9.0856648542379688</v>
      </c>
      <c r="N82" s="190">
        <f t="shared" si="8"/>
        <v>-119.91285500500388</v>
      </c>
      <c r="O82" s="189">
        <v>0</v>
      </c>
      <c r="P82" s="189">
        <v>0</v>
      </c>
      <c r="Q82" s="189">
        <v>0</v>
      </c>
      <c r="R82" s="190">
        <f t="shared" si="9"/>
        <v>-119.91285500500388</v>
      </c>
    </row>
    <row r="83" spans="1:18" ht="12" customHeight="1" x14ac:dyDescent="0.25">
      <c r="A83" s="110">
        <v>4</v>
      </c>
      <c r="B83" s="182">
        <f t="shared" si="4"/>
        <v>45017</v>
      </c>
      <c r="C83" s="202">
        <f t="shared" si="23"/>
        <v>45049</v>
      </c>
      <c r="D83" s="202">
        <f t="shared" si="23"/>
        <v>45070</v>
      </c>
      <c r="E83" s="52" t="s">
        <v>9</v>
      </c>
      <c r="F83" s="147">
        <v>9</v>
      </c>
      <c r="G83" s="184">
        <v>33</v>
      </c>
      <c r="H83" s="185">
        <f t="shared" si="5"/>
        <v>6.4194773820210456</v>
      </c>
      <c r="I83" s="185">
        <f t="shared" si="20"/>
        <v>4.0101906396130911</v>
      </c>
      <c r="J83" s="186">
        <f t="shared" si="2"/>
        <v>132.336291107232</v>
      </c>
      <c r="K83" s="187">
        <f t="shared" si="11"/>
        <v>211.84275360669452</v>
      </c>
      <c r="L83" s="188">
        <f t="shared" ref="L83:L93" si="24">+J83-K83</f>
        <v>-79.506462499462515</v>
      </c>
      <c r="M83" s="189">
        <f t="shared" si="7"/>
        <v>-6.5179769606489772</v>
      </c>
      <c r="N83" s="190">
        <f t="shared" si="8"/>
        <v>-86.024439460111495</v>
      </c>
      <c r="O83" s="189">
        <v>0</v>
      </c>
      <c r="P83" s="189">
        <v>0</v>
      </c>
      <c r="Q83" s="189">
        <v>0</v>
      </c>
      <c r="R83" s="190">
        <f t="shared" si="9"/>
        <v>-86.024439460111495</v>
      </c>
    </row>
    <row r="84" spans="1:18" ht="12" customHeight="1" x14ac:dyDescent="0.25">
      <c r="A84" s="147">
        <v>5</v>
      </c>
      <c r="B84" s="182">
        <f t="shared" si="4"/>
        <v>45047</v>
      </c>
      <c r="C84" s="202">
        <f t="shared" si="23"/>
        <v>45082</v>
      </c>
      <c r="D84" s="202">
        <f t="shared" si="23"/>
        <v>45103</v>
      </c>
      <c r="E84" s="52" t="s">
        <v>9</v>
      </c>
      <c r="F84" s="147">
        <v>9</v>
      </c>
      <c r="G84" s="184">
        <v>44</v>
      </c>
      <c r="H84" s="185">
        <f t="shared" si="5"/>
        <v>6.4194773820210456</v>
      </c>
      <c r="I84" s="185">
        <f t="shared" si="20"/>
        <v>4.0101906396130911</v>
      </c>
      <c r="J84" s="186">
        <f t="shared" si="2"/>
        <v>176.448388142976</v>
      </c>
      <c r="K84" s="187">
        <f t="shared" si="11"/>
        <v>282.457004808926</v>
      </c>
      <c r="L84" s="188">
        <f t="shared" si="24"/>
        <v>-106.00861666595</v>
      </c>
      <c r="M84" s="189">
        <f t="shared" si="7"/>
        <v>-8.6906359475319697</v>
      </c>
      <c r="N84" s="190">
        <f t="shared" si="8"/>
        <v>-114.69925261348197</v>
      </c>
      <c r="O84" s="189">
        <v>0</v>
      </c>
      <c r="P84" s="189">
        <v>0</v>
      </c>
      <c r="Q84" s="189">
        <v>0</v>
      </c>
      <c r="R84" s="190">
        <f t="shared" si="9"/>
        <v>-114.69925261348197</v>
      </c>
    </row>
    <row r="85" spans="1:18" x14ac:dyDescent="0.25">
      <c r="A85" s="147">
        <v>6</v>
      </c>
      <c r="B85" s="182">
        <f t="shared" si="4"/>
        <v>45078</v>
      </c>
      <c r="C85" s="202">
        <f t="shared" si="23"/>
        <v>45112</v>
      </c>
      <c r="D85" s="202">
        <f t="shared" si="23"/>
        <v>45131</v>
      </c>
      <c r="E85" s="52" t="s">
        <v>9</v>
      </c>
      <c r="F85" s="147">
        <v>9</v>
      </c>
      <c r="G85" s="184">
        <v>55</v>
      </c>
      <c r="H85" s="185">
        <f t="shared" ref="H85:H148" si="25">+$K$3</f>
        <v>6.4194773820210456</v>
      </c>
      <c r="I85" s="185">
        <f t="shared" si="20"/>
        <v>4.0101906396130911</v>
      </c>
      <c r="J85" s="186">
        <f t="shared" si="2"/>
        <v>220.56048517872</v>
      </c>
      <c r="K85" s="187">
        <f t="shared" si="11"/>
        <v>353.07125601115752</v>
      </c>
      <c r="L85" s="192">
        <f t="shared" si="24"/>
        <v>-132.51077083243752</v>
      </c>
      <c r="M85" s="189">
        <f t="shared" ref="M85:M148" si="26">G85/$G$212*$M$14</f>
        <v>-10.863294934414963</v>
      </c>
      <c r="N85" s="190">
        <f t="shared" ref="N85:N148" si="27">SUM(L85:M85)</f>
        <v>-143.37406576685248</v>
      </c>
      <c r="O85" s="189">
        <v>0</v>
      </c>
      <c r="P85" s="189">
        <v>0</v>
      </c>
      <c r="Q85" s="189">
        <v>0</v>
      </c>
      <c r="R85" s="190">
        <f t="shared" ref="R85:R148" si="28">+N85-Q85</f>
        <v>-143.37406576685248</v>
      </c>
    </row>
    <row r="86" spans="1:18" x14ac:dyDescent="0.25">
      <c r="A86" s="110">
        <v>7</v>
      </c>
      <c r="B86" s="182">
        <f t="shared" si="4"/>
        <v>45108</v>
      </c>
      <c r="C86" s="202">
        <f t="shared" si="23"/>
        <v>45141</v>
      </c>
      <c r="D86" s="202">
        <f t="shared" si="23"/>
        <v>45162</v>
      </c>
      <c r="E86" s="52" t="s">
        <v>9</v>
      </c>
      <c r="F86" s="147">
        <v>9</v>
      </c>
      <c r="G86" s="184">
        <v>57</v>
      </c>
      <c r="H86" s="185">
        <f t="shared" si="25"/>
        <v>6.4194773820210456</v>
      </c>
      <c r="I86" s="185">
        <f t="shared" si="20"/>
        <v>4.0101906396130911</v>
      </c>
      <c r="J86" s="186">
        <f t="shared" si="2"/>
        <v>228.5808664579462</v>
      </c>
      <c r="K86" s="193">
        <f t="shared" si="11"/>
        <v>365.91021077519957</v>
      </c>
      <c r="L86" s="192">
        <f t="shared" si="24"/>
        <v>-137.32934431725337</v>
      </c>
      <c r="M86" s="189">
        <f t="shared" si="26"/>
        <v>-11.25832384112096</v>
      </c>
      <c r="N86" s="190">
        <f t="shared" si="27"/>
        <v>-148.58766815837433</v>
      </c>
      <c r="O86" s="189">
        <v>0</v>
      </c>
      <c r="P86" s="189">
        <v>0</v>
      </c>
      <c r="Q86" s="189">
        <v>0</v>
      </c>
      <c r="R86" s="190">
        <f t="shared" si="28"/>
        <v>-148.58766815837433</v>
      </c>
    </row>
    <row r="87" spans="1:18" x14ac:dyDescent="0.25">
      <c r="A87" s="147">
        <v>8</v>
      </c>
      <c r="B87" s="182">
        <f t="shared" si="4"/>
        <v>45139</v>
      </c>
      <c r="C87" s="202">
        <f t="shared" si="23"/>
        <v>45174</v>
      </c>
      <c r="D87" s="202">
        <f t="shared" si="23"/>
        <v>45194</v>
      </c>
      <c r="E87" s="52" t="s">
        <v>9</v>
      </c>
      <c r="F87" s="147">
        <v>9</v>
      </c>
      <c r="G87" s="184">
        <v>56</v>
      </c>
      <c r="H87" s="185">
        <f t="shared" si="25"/>
        <v>6.4194773820210456</v>
      </c>
      <c r="I87" s="185">
        <f t="shared" si="20"/>
        <v>4.0101906396130911</v>
      </c>
      <c r="J87" s="186">
        <f t="shared" si="2"/>
        <v>224.57067581833309</v>
      </c>
      <c r="K87" s="193">
        <f t="shared" si="11"/>
        <v>359.49073339317857</v>
      </c>
      <c r="L87" s="192">
        <f t="shared" si="24"/>
        <v>-134.92005757484549</v>
      </c>
      <c r="M87" s="189">
        <f t="shared" si="26"/>
        <v>-11.060809387767961</v>
      </c>
      <c r="N87" s="190">
        <f t="shared" si="27"/>
        <v>-145.98086696261345</v>
      </c>
      <c r="O87" s="189">
        <v>0</v>
      </c>
      <c r="P87" s="189">
        <v>0</v>
      </c>
      <c r="Q87" s="189">
        <v>0</v>
      </c>
      <c r="R87" s="190">
        <f t="shared" si="28"/>
        <v>-145.98086696261345</v>
      </c>
    </row>
    <row r="88" spans="1:18" x14ac:dyDescent="0.25">
      <c r="A88" s="147">
        <v>9</v>
      </c>
      <c r="B88" s="182">
        <f t="shared" si="4"/>
        <v>45170</v>
      </c>
      <c r="C88" s="202">
        <f t="shared" si="23"/>
        <v>45203</v>
      </c>
      <c r="D88" s="202">
        <f t="shared" si="23"/>
        <v>45223</v>
      </c>
      <c r="E88" s="52" t="s">
        <v>9</v>
      </c>
      <c r="F88" s="147">
        <v>9</v>
      </c>
      <c r="G88" s="184">
        <v>60</v>
      </c>
      <c r="H88" s="185">
        <f t="shared" si="25"/>
        <v>6.4194773820210456</v>
      </c>
      <c r="I88" s="185">
        <f t="shared" si="20"/>
        <v>4.0101906396130911</v>
      </c>
      <c r="J88" s="186">
        <f t="shared" si="2"/>
        <v>240.61143837678546</v>
      </c>
      <c r="K88" s="193">
        <f t="shared" si="11"/>
        <v>385.16864292126274</v>
      </c>
      <c r="L88" s="192">
        <f t="shared" si="24"/>
        <v>-144.55720454447729</v>
      </c>
      <c r="M88" s="189">
        <f t="shared" si="26"/>
        <v>-11.850867201179959</v>
      </c>
      <c r="N88" s="190">
        <f t="shared" si="27"/>
        <v>-156.40807174565725</v>
      </c>
      <c r="O88" s="189">
        <v>0</v>
      </c>
      <c r="P88" s="189">
        <v>0</v>
      </c>
      <c r="Q88" s="189">
        <v>0</v>
      </c>
      <c r="R88" s="190">
        <f t="shared" si="28"/>
        <v>-156.40807174565725</v>
      </c>
    </row>
    <row r="89" spans="1:18" x14ac:dyDescent="0.25">
      <c r="A89" s="110">
        <v>10</v>
      </c>
      <c r="B89" s="182">
        <f t="shared" si="4"/>
        <v>45200</v>
      </c>
      <c r="C89" s="202">
        <f t="shared" si="23"/>
        <v>45233</v>
      </c>
      <c r="D89" s="202">
        <f t="shared" si="23"/>
        <v>45254</v>
      </c>
      <c r="E89" s="52" t="s">
        <v>9</v>
      </c>
      <c r="F89" s="147">
        <v>9</v>
      </c>
      <c r="G89" s="184">
        <v>48</v>
      </c>
      <c r="H89" s="185">
        <f t="shared" si="25"/>
        <v>6.4194773820210456</v>
      </c>
      <c r="I89" s="185">
        <f t="shared" si="20"/>
        <v>4.0101906396130911</v>
      </c>
      <c r="J89" s="186">
        <f t="shared" si="2"/>
        <v>192.48915070142837</v>
      </c>
      <c r="K89" s="193">
        <f t="shared" si="11"/>
        <v>308.13491433701017</v>
      </c>
      <c r="L89" s="192">
        <f t="shared" si="24"/>
        <v>-115.6457636355818</v>
      </c>
      <c r="M89" s="189">
        <f t="shared" si="26"/>
        <v>-9.4806937609439661</v>
      </c>
      <c r="N89" s="190">
        <f t="shared" si="27"/>
        <v>-125.12645739652577</v>
      </c>
      <c r="O89" s="189">
        <v>0</v>
      </c>
      <c r="P89" s="189">
        <v>0</v>
      </c>
      <c r="Q89" s="189">
        <v>0</v>
      </c>
      <c r="R89" s="190">
        <f t="shared" si="28"/>
        <v>-125.12645739652577</v>
      </c>
    </row>
    <row r="90" spans="1:18" x14ac:dyDescent="0.25">
      <c r="A90" s="147">
        <v>11</v>
      </c>
      <c r="B90" s="182">
        <f t="shared" si="4"/>
        <v>45231</v>
      </c>
      <c r="C90" s="202">
        <f t="shared" si="23"/>
        <v>45266</v>
      </c>
      <c r="D90" s="202">
        <f t="shared" si="23"/>
        <v>45285</v>
      </c>
      <c r="E90" s="52" t="s">
        <v>9</v>
      </c>
      <c r="F90" s="147">
        <v>9</v>
      </c>
      <c r="G90" s="184">
        <v>54</v>
      </c>
      <c r="H90" s="185">
        <f t="shared" si="25"/>
        <v>6.4194773820210456</v>
      </c>
      <c r="I90" s="185">
        <f t="shared" si="20"/>
        <v>4.0101906396130911</v>
      </c>
      <c r="J90" s="186">
        <f t="shared" si="2"/>
        <v>216.55029453910691</v>
      </c>
      <c r="K90" s="193">
        <f t="shared" si="11"/>
        <v>346.65177862913646</v>
      </c>
      <c r="L90" s="192">
        <f t="shared" si="24"/>
        <v>-130.10148409002954</v>
      </c>
      <c r="M90" s="189">
        <f t="shared" si="26"/>
        <v>-10.665780481061963</v>
      </c>
      <c r="N90" s="190">
        <f t="shared" si="27"/>
        <v>-140.76726457109152</v>
      </c>
      <c r="O90" s="189">
        <v>0</v>
      </c>
      <c r="P90" s="189">
        <v>0</v>
      </c>
      <c r="Q90" s="189">
        <v>0</v>
      </c>
      <c r="R90" s="190">
        <f t="shared" si="28"/>
        <v>-140.76726457109152</v>
      </c>
    </row>
    <row r="91" spans="1:18" s="206" customFormat="1" x14ac:dyDescent="0.25">
      <c r="A91" s="147">
        <v>12</v>
      </c>
      <c r="B91" s="204">
        <f t="shared" si="4"/>
        <v>45261</v>
      </c>
      <c r="C91" s="202">
        <f t="shared" si="23"/>
        <v>45294</v>
      </c>
      <c r="D91" s="202">
        <f t="shared" si="23"/>
        <v>45315</v>
      </c>
      <c r="E91" s="205" t="s">
        <v>9</v>
      </c>
      <c r="F91" s="158">
        <v>9</v>
      </c>
      <c r="G91" s="184">
        <v>55</v>
      </c>
      <c r="H91" s="194">
        <f t="shared" si="25"/>
        <v>6.4194773820210456</v>
      </c>
      <c r="I91" s="194">
        <f t="shared" si="20"/>
        <v>4.0101906396130911</v>
      </c>
      <c r="J91" s="195">
        <f t="shared" si="2"/>
        <v>220.56048517872</v>
      </c>
      <c r="K91" s="196">
        <f t="shared" si="11"/>
        <v>353.07125601115752</v>
      </c>
      <c r="L91" s="197">
        <f t="shared" si="24"/>
        <v>-132.51077083243752</v>
      </c>
      <c r="M91" s="189">
        <f t="shared" si="26"/>
        <v>-10.863294934414963</v>
      </c>
      <c r="N91" s="190">
        <f t="shared" si="27"/>
        <v>-143.37406576685248</v>
      </c>
      <c r="O91" s="189">
        <v>0</v>
      </c>
      <c r="P91" s="189">
        <v>0</v>
      </c>
      <c r="Q91" s="189">
        <v>0</v>
      </c>
      <c r="R91" s="190">
        <f t="shared" si="28"/>
        <v>-143.37406576685248</v>
      </c>
    </row>
    <row r="92" spans="1:18" x14ac:dyDescent="0.25">
      <c r="A92" s="110">
        <v>1</v>
      </c>
      <c r="B92" s="182">
        <f t="shared" si="4"/>
        <v>44927</v>
      </c>
      <c r="C92" s="199">
        <f t="shared" ref="C92:D95" si="29">+C80</f>
        <v>44960</v>
      </c>
      <c r="D92" s="199">
        <f t="shared" si="29"/>
        <v>44981</v>
      </c>
      <c r="E92" s="183" t="s">
        <v>8</v>
      </c>
      <c r="F92" s="110">
        <v>9</v>
      </c>
      <c r="G92" s="184">
        <v>84</v>
      </c>
      <c r="H92" s="185">
        <f t="shared" si="25"/>
        <v>6.4194773820210456</v>
      </c>
      <c r="I92" s="185">
        <f t="shared" si="20"/>
        <v>4.0101906396130911</v>
      </c>
      <c r="J92" s="186">
        <f t="shared" si="2"/>
        <v>336.85601372749966</v>
      </c>
      <c r="K92" s="187">
        <f t="shared" si="11"/>
        <v>539.23610008976777</v>
      </c>
      <c r="L92" s="188">
        <f t="shared" si="24"/>
        <v>-202.38008636226812</v>
      </c>
      <c r="M92" s="189">
        <f t="shared" si="26"/>
        <v>-16.591214081651941</v>
      </c>
      <c r="N92" s="190">
        <f t="shared" si="27"/>
        <v>-218.97130044392006</v>
      </c>
      <c r="O92" s="189">
        <v>0</v>
      </c>
      <c r="P92" s="189">
        <v>0</v>
      </c>
      <c r="Q92" s="189">
        <v>0</v>
      </c>
      <c r="R92" s="190">
        <f t="shared" si="28"/>
        <v>-218.97130044392006</v>
      </c>
    </row>
    <row r="93" spans="1:18" x14ac:dyDescent="0.25">
      <c r="A93" s="147">
        <v>2</v>
      </c>
      <c r="B93" s="182">
        <f t="shared" si="4"/>
        <v>44958</v>
      </c>
      <c r="C93" s="202">
        <f t="shared" si="29"/>
        <v>44988</v>
      </c>
      <c r="D93" s="202">
        <f t="shared" si="29"/>
        <v>45009</v>
      </c>
      <c r="E93" s="191" t="s">
        <v>8</v>
      </c>
      <c r="F93" s="147">
        <v>9</v>
      </c>
      <c r="G93" s="184">
        <v>83</v>
      </c>
      <c r="H93" s="185">
        <f t="shared" si="25"/>
        <v>6.4194773820210456</v>
      </c>
      <c r="I93" s="185">
        <f t="shared" si="20"/>
        <v>4.0101906396130911</v>
      </c>
      <c r="J93" s="186">
        <f t="shared" si="2"/>
        <v>332.84582308788657</v>
      </c>
      <c r="K93" s="187">
        <f t="shared" si="11"/>
        <v>532.81662270774677</v>
      </c>
      <c r="L93" s="188">
        <f t="shared" si="24"/>
        <v>-199.9707996198602</v>
      </c>
      <c r="M93" s="189">
        <f t="shared" si="26"/>
        <v>-16.393699628298943</v>
      </c>
      <c r="N93" s="190">
        <f t="shared" si="27"/>
        <v>-216.36449924815915</v>
      </c>
      <c r="O93" s="189">
        <v>0</v>
      </c>
      <c r="P93" s="189">
        <v>0</v>
      </c>
      <c r="Q93" s="189">
        <v>0</v>
      </c>
      <c r="R93" s="190">
        <f t="shared" si="28"/>
        <v>-216.36449924815915</v>
      </c>
    </row>
    <row r="94" spans="1:18" x14ac:dyDescent="0.25">
      <c r="A94" s="147">
        <v>3</v>
      </c>
      <c r="B94" s="182">
        <f t="shared" si="4"/>
        <v>44986</v>
      </c>
      <c r="C94" s="202">
        <f t="shared" si="29"/>
        <v>45021</v>
      </c>
      <c r="D94" s="202">
        <f t="shared" si="29"/>
        <v>45040</v>
      </c>
      <c r="E94" s="191" t="s">
        <v>8</v>
      </c>
      <c r="F94" s="147">
        <v>9</v>
      </c>
      <c r="G94" s="184">
        <v>76</v>
      </c>
      <c r="H94" s="185">
        <f t="shared" si="25"/>
        <v>6.4194773820210456</v>
      </c>
      <c r="I94" s="185">
        <f t="shared" si="20"/>
        <v>4.0101906396130911</v>
      </c>
      <c r="J94" s="186">
        <f t="shared" si="2"/>
        <v>304.77448861059491</v>
      </c>
      <c r="K94" s="187">
        <f t="shared" ref="K94:K133" si="30">+$G94*H94</f>
        <v>487.88028103359949</v>
      </c>
      <c r="L94" s="188">
        <f>+J94-K94</f>
        <v>-183.10579242300457</v>
      </c>
      <c r="M94" s="189">
        <f t="shared" si="26"/>
        <v>-15.011098454827948</v>
      </c>
      <c r="N94" s="190">
        <f t="shared" si="27"/>
        <v>-198.11689087783253</v>
      </c>
      <c r="O94" s="189">
        <v>0</v>
      </c>
      <c r="P94" s="189">
        <v>0</v>
      </c>
      <c r="Q94" s="189">
        <v>0</v>
      </c>
      <c r="R94" s="190">
        <f t="shared" si="28"/>
        <v>-198.11689087783253</v>
      </c>
    </row>
    <row r="95" spans="1:18" x14ac:dyDescent="0.25">
      <c r="A95" s="110">
        <v>4</v>
      </c>
      <c r="B95" s="182">
        <f t="shared" si="4"/>
        <v>45017</v>
      </c>
      <c r="C95" s="202">
        <f t="shared" si="29"/>
        <v>45049</v>
      </c>
      <c r="D95" s="202">
        <f t="shared" si="29"/>
        <v>45070</v>
      </c>
      <c r="E95" s="191" t="s">
        <v>8</v>
      </c>
      <c r="F95" s="147">
        <v>9</v>
      </c>
      <c r="G95" s="184">
        <v>69</v>
      </c>
      <c r="H95" s="185">
        <f t="shared" si="25"/>
        <v>6.4194773820210456</v>
      </c>
      <c r="I95" s="185">
        <f t="shared" si="20"/>
        <v>4.0101906396130911</v>
      </c>
      <c r="J95" s="186">
        <f t="shared" si="2"/>
        <v>276.70315413330326</v>
      </c>
      <c r="K95" s="187">
        <f t="shared" si="30"/>
        <v>442.94393935945214</v>
      </c>
      <c r="L95" s="188">
        <f t="shared" ref="L95:L105" si="31">+J95-K95</f>
        <v>-166.24078522614889</v>
      </c>
      <c r="M95" s="189">
        <f t="shared" si="26"/>
        <v>-13.628497281356953</v>
      </c>
      <c r="N95" s="190">
        <f t="shared" si="27"/>
        <v>-179.86928250750583</v>
      </c>
      <c r="O95" s="189">
        <v>0</v>
      </c>
      <c r="P95" s="189">
        <v>0</v>
      </c>
      <c r="Q95" s="189">
        <v>0</v>
      </c>
      <c r="R95" s="190">
        <f t="shared" si="28"/>
        <v>-179.86928250750583</v>
      </c>
    </row>
    <row r="96" spans="1:18" x14ac:dyDescent="0.25">
      <c r="A96" s="147">
        <v>5</v>
      </c>
      <c r="B96" s="182">
        <f t="shared" si="4"/>
        <v>45047</v>
      </c>
      <c r="C96" s="202">
        <f t="shared" ref="C96:D116" si="32">+C84</f>
        <v>45082</v>
      </c>
      <c r="D96" s="202">
        <f t="shared" si="32"/>
        <v>45103</v>
      </c>
      <c r="E96" s="52" t="s">
        <v>8</v>
      </c>
      <c r="F96" s="147">
        <v>9</v>
      </c>
      <c r="G96" s="184">
        <v>99</v>
      </c>
      <c r="H96" s="185">
        <f t="shared" si="25"/>
        <v>6.4194773820210456</v>
      </c>
      <c r="I96" s="185">
        <f t="shared" si="20"/>
        <v>4.0101906396130911</v>
      </c>
      <c r="J96" s="186">
        <f t="shared" si="2"/>
        <v>397.008873321696</v>
      </c>
      <c r="K96" s="187">
        <f t="shared" si="30"/>
        <v>635.52826082008346</v>
      </c>
      <c r="L96" s="188">
        <f t="shared" si="31"/>
        <v>-238.51938749838746</v>
      </c>
      <c r="M96" s="189">
        <f t="shared" si="26"/>
        <v>-19.553930881946933</v>
      </c>
      <c r="N96" s="190">
        <f t="shared" si="27"/>
        <v>-258.0733183803344</v>
      </c>
      <c r="O96" s="189">
        <v>0</v>
      </c>
      <c r="P96" s="189">
        <v>0</v>
      </c>
      <c r="Q96" s="189">
        <v>0</v>
      </c>
      <c r="R96" s="190">
        <f t="shared" si="28"/>
        <v>-258.0733183803344</v>
      </c>
    </row>
    <row r="97" spans="1:18" x14ac:dyDescent="0.25">
      <c r="A97" s="147">
        <v>6</v>
      </c>
      <c r="B97" s="182">
        <f t="shared" si="4"/>
        <v>45078</v>
      </c>
      <c r="C97" s="202">
        <f t="shared" si="32"/>
        <v>45112</v>
      </c>
      <c r="D97" s="202">
        <f t="shared" si="32"/>
        <v>45131</v>
      </c>
      <c r="E97" s="52" t="s">
        <v>8</v>
      </c>
      <c r="F97" s="147">
        <v>9</v>
      </c>
      <c r="G97" s="184">
        <v>149</v>
      </c>
      <c r="H97" s="185">
        <f t="shared" si="25"/>
        <v>6.4194773820210456</v>
      </c>
      <c r="I97" s="185">
        <f t="shared" si="20"/>
        <v>4.0101906396130911</v>
      </c>
      <c r="J97" s="186">
        <f t="shared" si="2"/>
        <v>597.51840530235052</v>
      </c>
      <c r="K97" s="187">
        <f t="shared" si="30"/>
        <v>956.50212992113575</v>
      </c>
      <c r="L97" s="192">
        <f t="shared" si="31"/>
        <v>-358.98372461878523</v>
      </c>
      <c r="M97" s="189">
        <f t="shared" si="26"/>
        <v>-29.429653549596896</v>
      </c>
      <c r="N97" s="190">
        <f t="shared" si="27"/>
        <v>-388.41337816838211</v>
      </c>
      <c r="O97" s="189">
        <v>0</v>
      </c>
      <c r="P97" s="189">
        <v>0</v>
      </c>
      <c r="Q97" s="189">
        <v>0</v>
      </c>
      <c r="R97" s="190">
        <f t="shared" si="28"/>
        <v>-388.41337816838211</v>
      </c>
    </row>
    <row r="98" spans="1:18" x14ac:dyDescent="0.25">
      <c r="A98" s="110">
        <v>7</v>
      </c>
      <c r="B98" s="182">
        <f t="shared" si="4"/>
        <v>45108</v>
      </c>
      <c r="C98" s="202">
        <f t="shared" si="32"/>
        <v>45141</v>
      </c>
      <c r="D98" s="202">
        <f t="shared" si="32"/>
        <v>45162</v>
      </c>
      <c r="E98" s="52" t="s">
        <v>8</v>
      </c>
      <c r="F98" s="147">
        <v>9</v>
      </c>
      <c r="G98" s="184">
        <v>148</v>
      </c>
      <c r="H98" s="185">
        <f t="shared" si="25"/>
        <v>6.4194773820210456</v>
      </c>
      <c r="I98" s="185">
        <f t="shared" si="20"/>
        <v>4.0101906396130911</v>
      </c>
      <c r="J98" s="186">
        <f t="shared" si="2"/>
        <v>593.50821466273749</v>
      </c>
      <c r="K98" s="193">
        <f t="shared" si="30"/>
        <v>950.08265253911475</v>
      </c>
      <c r="L98" s="192">
        <f t="shared" si="31"/>
        <v>-356.57443787637726</v>
      </c>
      <c r="M98" s="189">
        <f t="shared" si="26"/>
        <v>-29.232139096243895</v>
      </c>
      <c r="N98" s="190">
        <f t="shared" si="27"/>
        <v>-385.80657697262114</v>
      </c>
      <c r="O98" s="189">
        <v>0</v>
      </c>
      <c r="P98" s="189">
        <v>0</v>
      </c>
      <c r="Q98" s="189">
        <v>0</v>
      </c>
      <c r="R98" s="190">
        <f t="shared" si="28"/>
        <v>-385.80657697262114</v>
      </c>
    </row>
    <row r="99" spans="1:18" x14ac:dyDescent="0.25">
      <c r="A99" s="147">
        <v>8</v>
      </c>
      <c r="B99" s="182">
        <f t="shared" si="4"/>
        <v>45139</v>
      </c>
      <c r="C99" s="202">
        <f t="shared" si="32"/>
        <v>45174</v>
      </c>
      <c r="D99" s="202">
        <f t="shared" si="32"/>
        <v>45194</v>
      </c>
      <c r="E99" s="52" t="s">
        <v>8</v>
      </c>
      <c r="F99" s="147">
        <v>9</v>
      </c>
      <c r="G99" s="184">
        <v>160</v>
      </c>
      <c r="H99" s="185">
        <f t="shared" si="25"/>
        <v>6.4194773820210456</v>
      </c>
      <c r="I99" s="185">
        <f t="shared" si="20"/>
        <v>4.0101906396130911</v>
      </c>
      <c r="J99" s="186">
        <f t="shared" si="2"/>
        <v>641.63050233809463</v>
      </c>
      <c r="K99" s="193">
        <f t="shared" si="30"/>
        <v>1027.1163811233673</v>
      </c>
      <c r="L99" s="192">
        <f t="shared" si="31"/>
        <v>-385.48587878527269</v>
      </c>
      <c r="M99" s="189">
        <f t="shared" si="26"/>
        <v>-31.602312536479889</v>
      </c>
      <c r="N99" s="190">
        <f t="shared" si="27"/>
        <v>-417.08819132175256</v>
      </c>
      <c r="O99" s="189">
        <v>0</v>
      </c>
      <c r="P99" s="189">
        <v>0</v>
      </c>
      <c r="Q99" s="189">
        <v>0</v>
      </c>
      <c r="R99" s="190">
        <f t="shared" si="28"/>
        <v>-417.08819132175256</v>
      </c>
    </row>
    <row r="100" spans="1:18" x14ac:dyDescent="0.25">
      <c r="A100" s="147">
        <v>9</v>
      </c>
      <c r="B100" s="182">
        <f t="shared" si="4"/>
        <v>45170</v>
      </c>
      <c r="C100" s="202">
        <f t="shared" si="32"/>
        <v>45203</v>
      </c>
      <c r="D100" s="202">
        <f t="shared" si="32"/>
        <v>45223</v>
      </c>
      <c r="E100" s="52" t="s">
        <v>8</v>
      </c>
      <c r="F100" s="147">
        <v>9</v>
      </c>
      <c r="G100" s="184">
        <v>155</v>
      </c>
      <c r="H100" s="185">
        <f t="shared" si="25"/>
        <v>6.4194773820210456</v>
      </c>
      <c r="I100" s="185">
        <f t="shared" si="20"/>
        <v>4.0101906396130911</v>
      </c>
      <c r="J100" s="186">
        <f t="shared" si="2"/>
        <v>621.57954914002914</v>
      </c>
      <c r="K100" s="193">
        <f t="shared" si="30"/>
        <v>995.01899421326209</v>
      </c>
      <c r="L100" s="192">
        <f t="shared" si="31"/>
        <v>-373.43944507323295</v>
      </c>
      <c r="M100" s="189">
        <f t="shared" si="26"/>
        <v>-30.614740269714893</v>
      </c>
      <c r="N100" s="190">
        <f t="shared" si="27"/>
        <v>-404.05418534294785</v>
      </c>
      <c r="O100" s="189">
        <v>0</v>
      </c>
      <c r="P100" s="189">
        <v>0</v>
      </c>
      <c r="Q100" s="189">
        <v>0</v>
      </c>
      <c r="R100" s="190">
        <f t="shared" si="28"/>
        <v>-404.05418534294785</v>
      </c>
    </row>
    <row r="101" spans="1:18" x14ac:dyDescent="0.25">
      <c r="A101" s="110">
        <v>10</v>
      </c>
      <c r="B101" s="182">
        <f t="shared" si="4"/>
        <v>45200</v>
      </c>
      <c r="C101" s="202">
        <f t="shared" si="32"/>
        <v>45233</v>
      </c>
      <c r="D101" s="202">
        <f t="shared" si="32"/>
        <v>45254</v>
      </c>
      <c r="E101" s="52" t="s">
        <v>8</v>
      </c>
      <c r="F101" s="147">
        <v>9</v>
      </c>
      <c r="G101" s="184">
        <v>110</v>
      </c>
      <c r="H101" s="185">
        <f t="shared" si="25"/>
        <v>6.4194773820210456</v>
      </c>
      <c r="I101" s="185">
        <f t="shared" si="20"/>
        <v>4.0101906396130911</v>
      </c>
      <c r="J101" s="186">
        <f t="shared" si="2"/>
        <v>441.12097035744</v>
      </c>
      <c r="K101" s="193">
        <f t="shared" si="30"/>
        <v>706.14251202231503</v>
      </c>
      <c r="L101" s="192">
        <f t="shared" si="31"/>
        <v>-265.02154166487503</v>
      </c>
      <c r="M101" s="189">
        <f t="shared" si="26"/>
        <v>-21.726589868829926</v>
      </c>
      <c r="N101" s="190">
        <f t="shared" si="27"/>
        <v>-286.74813153370496</v>
      </c>
      <c r="O101" s="189">
        <v>0</v>
      </c>
      <c r="P101" s="189">
        <v>0</v>
      </c>
      <c r="Q101" s="189">
        <v>0</v>
      </c>
      <c r="R101" s="190">
        <f t="shared" si="28"/>
        <v>-286.74813153370496</v>
      </c>
    </row>
    <row r="102" spans="1:18" x14ac:dyDescent="0.25">
      <c r="A102" s="147">
        <v>11</v>
      </c>
      <c r="B102" s="182">
        <f t="shared" si="4"/>
        <v>45231</v>
      </c>
      <c r="C102" s="202">
        <f t="shared" si="32"/>
        <v>45266</v>
      </c>
      <c r="D102" s="202">
        <f t="shared" si="32"/>
        <v>45285</v>
      </c>
      <c r="E102" s="52" t="s">
        <v>8</v>
      </c>
      <c r="F102" s="147">
        <v>9</v>
      </c>
      <c r="G102" s="184">
        <v>70</v>
      </c>
      <c r="H102" s="185">
        <f t="shared" si="25"/>
        <v>6.4194773820210456</v>
      </c>
      <c r="I102" s="185">
        <f t="shared" si="20"/>
        <v>4.0101906396130911</v>
      </c>
      <c r="J102" s="186">
        <f t="shared" si="2"/>
        <v>280.7133447729164</v>
      </c>
      <c r="K102" s="193">
        <f t="shared" si="30"/>
        <v>449.3634167414732</v>
      </c>
      <c r="L102" s="192">
        <f t="shared" si="31"/>
        <v>-168.6500719685568</v>
      </c>
      <c r="M102" s="189">
        <f t="shared" si="26"/>
        <v>-13.826011734709951</v>
      </c>
      <c r="N102" s="190">
        <f t="shared" si="27"/>
        <v>-182.47608370326674</v>
      </c>
      <c r="O102" s="189">
        <v>0</v>
      </c>
      <c r="P102" s="189">
        <v>0</v>
      </c>
      <c r="Q102" s="189">
        <v>0</v>
      </c>
      <c r="R102" s="190">
        <f t="shared" si="28"/>
        <v>-182.47608370326674</v>
      </c>
    </row>
    <row r="103" spans="1:18" s="206" customFormat="1" x14ac:dyDescent="0.25">
      <c r="A103" s="147">
        <v>12</v>
      </c>
      <c r="B103" s="204">
        <f t="shared" si="4"/>
        <v>45261</v>
      </c>
      <c r="C103" s="202">
        <f t="shared" si="32"/>
        <v>45294</v>
      </c>
      <c r="D103" s="202">
        <f t="shared" si="32"/>
        <v>45315</v>
      </c>
      <c r="E103" s="205" t="s">
        <v>8</v>
      </c>
      <c r="F103" s="158">
        <v>9</v>
      </c>
      <c r="G103" s="184">
        <v>66</v>
      </c>
      <c r="H103" s="194">
        <f t="shared" si="25"/>
        <v>6.4194773820210456</v>
      </c>
      <c r="I103" s="194">
        <f t="shared" si="20"/>
        <v>4.0101906396130911</v>
      </c>
      <c r="J103" s="195">
        <f t="shared" si="2"/>
        <v>264.672582214464</v>
      </c>
      <c r="K103" s="196">
        <f t="shared" si="30"/>
        <v>423.68550721338903</v>
      </c>
      <c r="L103" s="197">
        <f t="shared" si="31"/>
        <v>-159.01292499892503</v>
      </c>
      <c r="M103" s="189">
        <f t="shared" si="26"/>
        <v>-13.035953921297954</v>
      </c>
      <c r="N103" s="190">
        <f t="shared" si="27"/>
        <v>-172.04887892022299</v>
      </c>
      <c r="O103" s="189">
        <v>0</v>
      </c>
      <c r="P103" s="189">
        <v>0</v>
      </c>
      <c r="Q103" s="189">
        <v>0</v>
      </c>
      <c r="R103" s="190">
        <f t="shared" si="28"/>
        <v>-172.04887892022299</v>
      </c>
    </row>
    <row r="104" spans="1:18" x14ac:dyDescent="0.25">
      <c r="A104" s="110">
        <v>1</v>
      </c>
      <c r="B104" s="182">
        <f t="shared" si="4"/>
        <v>44927</v>
      </c>
      <c r="C104" s="199">
        <f t="shared" si="32"/>
        <v>44960</v>
      </c>
      <c r="D104" s="199">
        <f t="shared" si="32"/>
        <v>44981</v>
      </c>
      <c r="E104" s="183" t="s">
        <v>19</v>
      </c>
      <c r="F104" s="110">
        <v>9</v>
      </c>
      <c r="G104" s="184">
        <v>63</v>
      </c>
      <c r="H104" s="185">
        <f t="shared" si="25"/>
        <v>6.4194773820210456</v>
      </c>
      <c r="I104" s="185">
        <f t="shared" si="20"/>
        <v>4.0101906396130911</v>
      </c>
      <c r="J104" s="186">
        <f t="shared" si="2"/>
        <v>252.64201029562474</v>
      </c>
      <c r="K104" s="187">
        <f t="shared" si="30"/>
        <v>404.42707506732586</v>
      </c>
      <c r="L104" s="188">
        <f t="shared" si="31"/>
        <v>-151.78506477170112</v>
      </c>
      <c r="M104" s="189">
        <f t="shared" si="26"/>
        <v>-12.443410561238956</v>
      </c>
      <c r="N104" s="190">
        <f t="shared" si="27"/>
        <v>-164.22847533294006</v>
      </c>
      <c r="O104" s="189">
        <v>0</v>
      </c>
      <c r="P104" s="189">
        <v>0</v>
      </c>
      <c r="Q104" s="189">
        <v>0</v>
      </c>
      <c r="R104" s="190">
        <f t="shared" si="28"/>
        <v>-164.22847533294006</v>
      </c>
    </row>
    <row r="105" spans="1:18" x14ac:dyDescent="0.25">
      <c r="A105" s="147">
        <v>2</v>
      </c>
      <c r="B105" s="182">
        <f t="shared" si="4"/>
        <v>44958</v>
      </c>
      <c r="C105" s="202">
        <f t="shared" si="32"/>
        <v>44988</v>
      </c>
      <c r="D105" s="202">
        <f t="shared" si="32"/>
        <v>45009</v>
      </c>
      <c r="E105" s="191" t="s">
        <v>19</v>
      </c>
      <c r="F105" s="147">
        <v>9</v>
      </c>
      <c r="G105" s="184">
        <v>63</v>
      </c>
      <c r="H105" s="185">
        <f t="shared" si="25"/>
        <v>6.4194773820210456</v>
      </c>
      <c r="I105" s="185">
        <f t="shared" si="20"/>
        <v>4.0101906396130911</v>
      </c>
      <c r="J105" s="186">
        <f t="shared" si="2"/>
        <v>252.64201029562474</v>
      </c>
      <c r="K105" s="187">
        <f t="shared" si="30"/>
        <v>404.42707506732586</v>
      </c>
      <c r="L105" s="188">
        <f t="shared" si="31"/>
        <v>-151.78506477170112</v>
      </c>
      <c r="M105" s="189">
        <f t="shared" si="26"/>
        <v>-12.443410561238956</v>
      </c>
      <c r="N105" s="190">
        <f t="shared" si="27"/>
        <v>-164.22847533294006</v>
      </c>
      <c r="O105" s="189">
        <v>0</v>
      </c>
      <c r="P105" s="189">
        <v>0</v>
      </c>
      <c r="Q105" s="189">
        <v>0</v>
      </c>
      <c r="R105" s="190">
        <f t="shared" si="28"/>
        <v>-164.22847533294006</v>
      </c>
    </row>
    <row r="106" spans="1:18" x14ac:dyDescent="0.25">
      <c r="A106" s="147">
        <v>3</v>
      </c>
      <c r="B106" s="182">
        <f t="shared" si="4"/>
        <v>44986</v>
      </c>
      <c r="C106" s="202">
        <f t="shared" si="32"/>
        <v>45021</v>
      </c>
      <c r="D106" s="202">
        <f t="shared" si="32"/>
        <v>45040</v>
      </c>
      <c r="E106" s="191" t="s">
        <v>19</v>
      </c>
      <c r="F106" s="147">
        <v>9</v>
      </c>
      <c r="G106" s="184">
        <v>67</v>
      </c>
      <c r="H106" s="185">
        <f t="shared" si="25"/>
        <v>6.4194773820210456</v>
      </c>
      <c r="I106" s="185">
        <f t="shared" si="20"/>
        <v>4.0101906396130911</v>
      </c>
      <c r="J106" s="186">
        <f t="shared" si="2"/>
        <v>268.68277285407709</v>
      </c>
      <c r="K106" s="187">
        <f t="shared" si="30"/>
        <v>430.10498459541003</v>
      </c>
      <c r="L106" s="188">
        <f>+J106-K106</f>
        <v>-161.42221174133294</v>
      </c>
      <c r="M106" s="189">
        <f t="shared" si="26"/>
        <v>-13.233468374650954</v>
      </c>
      <c r="N106" s="190">
        <f t="shared" si="27"/>
        <v>-174.6556801159839</v>
      </c>
      <c r="O106" s="189">
        <v>0</v>
      </c>
      <c r="P106" s="189">
        <v>0</v>
      </c>
      <c r="Q106" s="189">
        <v>0</v>
      </c>
      <c r="R106" s="190">
        <f t="shared" si="28"/>
        <v>-174.6556801159839</v>
      </c>
    </row>
    <row r="107" spans="1:18" x14ac:dyDescent="0.25">
      <c r="A107" s="110">
        <v>4</v>
      </c>
      <c r="B107" s="182">
        <f t="shared" si="4"/>
        <v>45017</v>
      </c>
      <c r="C107" s="202">
        <f t="shared" si="32"/>
        <v>45049</v>
      </c>
      <c r="D107" s="202">
        <f t="shared" si="32"/>
        <v>45070</v>
      </c>
      <c r="E107" s="52" t="s">
        <v>19</v>
      </c>
      <c r="F107" s="147">
        <v>9</v>
      </c>
      <c r="G107" s="184">
        <v>62</v>
      </c>
      <c r="H107" s="185">
        <f t="shared" si="25"/>
        <v>6.4194773820210456</v>
      </c>
      <c r="I107" s="185">
        <f t="shared" si="20"/>
        <v>4.0101906396130911</v>
      </c>
      <c r="J107" s="186">
        <f t="shared" si="2"/>
        <v>248.63181965601166</v>
      </c>
      <c r="K107" s="187">
        <f t="shared" si="30"/>
        <v>398.0075976853048</v>
      </c>
      <c r="L107" s="188">
        <f t="shared" ref="L107:L115" si="33">+J107-K107</f>
        <v>-149.37577802929314</v>
      </c>
      <c r="M107" s="189">
        <f t="shared" si="26"/>
        <v>-12.245896107885956</v>
      </c>
      <c r="N107" s="190">
        <f t="shared" si="27"/>
        <v>-161.6216741371791</v>
      </c>
      <c r="O107" s="189">
        <v>0</v>
      </c>
      <c r="P107" s="189">
        <v>0</v>
      </c>
      <c r="Q107" s="189">
        <v>0</v>
      </c>
      <c r="R107" s="190">
        <f t="shared" si="28"/>
        <v>-161.6216741371791</v>
      </c>
    </row>
    <row r="108" spans="1:18" x14ac:dyDescent="0.25">
      <c r="A108" s="147">
        <v>5</v>
      </c>
      <c r="B108" s="182">
        <f t="shared" si="4"/>
        <v>45047</v>
      </c>
      <c r="C108" s="202">
        <f t="shared" si="32"/>
        <v>45082</v>
      </c>
      <c r="D108" s="202">
        <f t="shared" si="32"/>
        <v>45103</v>
      </c>
      <c r="E108" s="52" t="s">
        <v>19</v>
      </c>
      <c r="F108" s="147">
        <v>9</v>
      </c>
      <c r="G108" s="184">
        <v>51</v>
      </c>
      <c r="H108" s="185">
        <f t="shared" si="25"/>
        <v>6.4194773820210456</v>
      </c>
      <c r="I108" s="185">
        <f t="shared" ref="I108:I127" si="34">$J$3</f>
        <v>4.0101906396130911</v>
      </c>
      <c r="J108" s="186">
        <f t="shared" si="2"/>
        <v>204.51972262026766</v>
      </c>
      <c r="K108" s="187">
        <f t="shared" si="30"/>
        <v>327.39334648307334</v>
      </c>
      <c r="L108" s="188">
        <f t="shared" si="33"/>
        <v>-122.87362386280569</v>
      </c>
      <c r="M108" s="189">
        <f t="shared" si="26"/>
        <v>-10.073237121002963</v>
      </c>
      <c r="N108" s="190">
        <f t="shared" si="27"/>
        <v>-132.94686098380865</v>
      </c>
      <c r="O108" s="189">
        <v>0</v>
      </c>
      <c r="P108" s="189">
        <v>0</v>
      </c>
      <c r="Q108" s="189">
        <v>0</v>
      </c>
      <c r="R108" s="190">
        <f t="shared" si="28"/>
        <v>-132.94686098380865</v>
      </c>
    </row>
    <row r="109" spans="1:18" x14ac:dyDescent="0.25">
      <c r="A109" s="147">
        <v>6</v>
      </c>
      <c r="B109" s="182">
        <f t="shared" ref="B109:B148" si="35">DATE($R$1,A109,1)</f>
        <v>45078</v>
      </c>
      <c r="C109" s="202">
        <f t="shared" si="32"/>
        <v>45112</v>
      </c>
      <c r="D109" s="202">
        <f t="shared" si="32"/>
        <v>45131</v>
      </c>
      <c r="E109" s="52" t="s">
        <v>19</v>
      </c>
      <c r="F109" s="147">
        <v>9</v>
      </c>
      <c r="G109" s="184">
        <v>67</v>
      </c>
      <c r="H109" s="185">
        <f t="shared" si="25"/>
        <v>6.4194773820210456</v>
      </c>
      <c r="I109" s="185">
        <f t="shared" si="34"/>
        <v>4.0101906396130911</v>
      </c>
      <c r="J109" s="186">
        <f t="shared" ref="J109:J148" si="36">+$G109*I109</f>
        <v>268.68277285407709</v>
      </c>
      <c r="K109" s="187">
        <f t="shared" si="30"/>
        <v>430.10498459541003</v>
      </c>
      <c r="L109" s="192">
        <f t="shared" si="33"/>
        <v>-161.42221174133294</v>
      </c>
      <c r="M109" s="189">
        <f t="shared" si="26"/>
        <v>-13.233468374650954</v>
      </c>
      <c r="N109" s="190">
        <f t="shared" si="27"/>
        <v>-174.6556801159839</v>
      </c>
      <c r="O109" s="189">
        <v>0</v>
      </c>
      <c r="P109" s="189">
        <v>0</v>
      </c>
      <c r="Q109" s="189">
        <v>0</v>
      </c>
      <c r="R109" s="190">
        <f t="shared" si="28"/>
        <v>-174.6556801159839</v>
      </c>
    </row>
    <row r="110" spans="1:18" x14ac:dyDescent="0.25">
      <c r="A110" s="110">
        <v>7</v>
      </c>
      <c r="B110" s="182">
        <f t="shared" si="35"/>
        <v>45108</v>
      </c>
      <c r="C110" s="202">
        <f t="shared" si="32"/>
        <v>45141</v>
      </c>
      <c r="D110" s="202">
        <f t="shared" si="32"/>
        <v>45162</v>
      </c>
      <c r="E110" s="52" t="s">
        <v>19</v>
      </c>
      <c r="F110" s="147">
        <v>9</v>
      </c>
      <c r="G110" s="184">
        <v>66</v>
      </c>
      <c r="H110" s="185">
        <f t="shared" si="25"/>
        <v>6.4194773820210456</v>
      </c>
      <c r="I110" s="185">
        <f t="shared" si="34"/>
        <v>4.0101906396130911</v>
      </c>
      <c r="J110" s="186">
        <f t="shared" si="36"/>
        <v>264.672582214464</v>
      </c>
      <c r="K110" s="193">
        <f t="shared" si="30"/>
        <v>423.68550721338903</v>
      </c>
      <c r="L110" s="192">
        <f t="shared" si="33"/>
        <v>-159.01292499892503</v>
      </c>
      <c r="M110" s="189">
        <f t="shared" si="26"/>
        <v>-13.035953921297954</v>
      </c>
      <c r="N110" s="190">
        <f t="shared" si="27"/>
        <v>-172.04887892022299</v>
      </c>
      <c r="O110" s="189">
        <v>0</v>
      </c>
      <c r="P110" s="189">
        <v>0</v>
      </c>
      <c r="Q110" s="189">
        <v>0</v>
      </c>
      <c r="R110" s="190">
        <f t="shared" si="28"/>
        <v>-172.04887892022299</v>
      </c>
    </row>
    <row r="111" spans="1:18" x14ac:dyDescent="0.25">
      <c r="A111" s="147">
        <v>8</v>
      </c>
      <c r="B111" s="182">
        <f t="shared" si="35"/>
        <v>45139</v>
      </c>
      <c r="C111" s="202">
        <f t="shared" si="32"/>
        <v>45174</v>
      </c>
      <c r="D111" s="202">
        <f t="shared" si="32"/>
        <v>45194</v>
      </c>
      <c r="E111" s="52" t="s">
        <v>19</v>
      </c>
      <c r="F111" s="147">
        <v>9</v>
      </c>
      <c r="G111" s="184">
        <v>61</v>
      </c>
      <c r="H111" s="185">
        <f t="shared" si="25"/>
        <v>6.4194773820210456</v>
      </c>
      <c r="I111" s="185">
        <f t="shared" si="34"/>
        <v>4.0101906396130911</v>
      </c>
      <c r="J111" s="186">
        <f t="shared" si="36"/>
        <v>244.62162901639854</v>
      </c>
      <c r="K111" s="193">
        <f t="shared" si="30"/>
        <v>391.5881203032838</v>
      </c>
      <c r="L111" s="192">
        <f t="shared" si="33"/>
        <v>-146.96649128688526</v>
      </c>
      <c r="M111" s="189">
        <f t="shared" si="26"/>
        <v>-12.048381654532957</v>
      </c>
      <c r="N111" s="190">
        <f t="shared" si="27"/>
        <v>-159.01487294141822</v>
      </c>
      <c r="O111" s="189">
        <v>0</v>
      </c>
      <c r="P111" s="189">
        <v>0</v>
      </c>
      <c r="Q111" s="189">
        <v>0</v>
      </c>
      <c r="R111" s="190">
        <f t="shared" si="28"/>
        <v>-159.01487294141822</v>
      </c>
    </row>
    <row r="112" spans="1:18" x14ac:dyDescent="0.25">
      <c r="A112" s="147">
        <v>9</v>
      </c>
      <c r="B112" s="182">
        <f t="shared" si="35"/>
        <v>45170</v>
      </c>
      <c r="C112" s="202">
        <f t="shared" si="32"/>
        <v>45203</v>
      </c>
      <c r="D112" s="202">
        <f t="shared" si="32"/>
        <v>45223</v>
      </c>
      <c r="E112" s="52" t="s">
        <v>19</v>
      </c>
      <c r="F112" s="147">
        <v>9</v>
      </c>
      <c r="G112" s="184">
        <v>55</v>
      </c>
      <c r="H112" s="185">
        <f t="shared" si="25"/>
        <v>6.4194773820210456</v>
      </c>
      <c r="I112" s="185">
        <f t="shared" si="34"/>
        <v>4.0101906396130911</v>
      </c>
      <c r="J112" s="186">
        <f t="shared" si="36"/>
        <v>220.56048517872</v>
      </c>
      <c r="K112" s="193">
        <f t="shared" si="30"/>
        <v>353.07125601115752</v>
      </c>
      <c r="L112" s="192">
        <f t="shared" si="33"/>
        <v>-132.51077083243752</v>
      </c>
      <c r="M112" s="189">
        <f t="shared" si="26"/>
        <v>-10.863294934414963</v>
      </c>
      <c r="N112" s="190">
        <f t="shared" si="27"/>
        <v>-143.37406576685248</v>
      </c>
      <c r="O112" s="189">
        <v>0</v>
      </c>
      <c r="P112" s="189">
        <v>0</v>
      </c>
      <c r="Q112" s="189">
        <v>0</v>
      </c>
      <c r="R112" s="190">
        <f t="shared" si="28"/>
        <v>-143.37406576685248</v>
      </c>
    </row>
    <row r="113" spans="1:18" x14ac:dyDescent="0.25">
      <c r="A113" s="110">
        <v>10</v>
      </c>
      <c r="B113" s="182">
        <f t="shared" si="35"/>
        <v>45200</v>
      </c>
      <c r="C113" s="202">
        <f t="shared" si="32"/>
        <v>45233</v>
      </c>
      <c r="D113" s="202">
        <f t="shared" si="32"/>
        <v>45254</v>
      </c>
      <c r="E113" s="52" t="s">
        <v>19</v>
      </c>
      <c r="F113" s="147">
        <v>9</v>
      </c>
      <c r="G113" s="184">
        <v>59</v>
      </c>
      <c r="H113" s="185">
        <f t="shared" si="25"/>
        <v>6.4194773820210456</v>
      </c>
      <c r="I113" s="185">
        <f t="shared" si="34"/>
        <v>4.0101906396130911</v>
      </c>
      <c r="J113" s="186">
        <f t="shared" si="36"/>
        <v>236.60124773717237</v>
      </c>
      <c r="K113" s="193">
        <f t="shared" si="30"/>
        <v>378.74916553924169</v>
      </c>
      <c r="L113" s="192">
        <f t="shared" si="33"/>
        <v>-142.14791780206932</v>
      </c>
      <c r="M113" s="189">
        <f t="shared" si="26"/>
        <v>-11.653352747826959</v>
      </c>
      <c r="N113" s="190">
        <f t="shared" si="27"/>
        <v>-153.80127054989629</v>
      </c>
      <c r="O113" s="189">
        <v>0</v>
      </c>
      <c r="P113" s="189">
        <v>0</v>
      </c>
      <c r="Q113" s="189">
        <v>0</v>
      </c>
      <c r="R113" s="190">
        <f t="shared" si="28"/>
        <v>-153.80127054989629</v>
      </c>
    </row>
    <row r="114" spans="1:18" x14ac:dyDescent="0.25">
      <c r="A114" s="147">
        <v>11</v>
      </c>
      <c r="B114" s="182">
        <f t="shared" si="35"/>
        <v>45231</v>
      </c>
      <c r="C114" s="202">
        <f t="shared" si="32"/>
        <v>45266</v>
      </c>
      <c r="D114" s="202">
        <f t="shared" si="32"/>
        <v>45285</v>
      </c>
      <c r="E114" s="52" t="s">
        <v>19</v>
      </c>
      <c r="F114" s="147">
        <v>9</v>
      </c>
      <c r="G114" s="184">
        <v>63</v>
      </c>
      <c r="H114" s="185">
        <f t="shared" si="25"/>
        <v>6.4194773820210456</v>
      </c>
      <c r="I114" s="185">
        <f t="shared" si="34"/>
        <v>4.0101906396130911</v>
      </c>
      <c r="J114" s="186">
        <f t="shared" si="36"/>
        <v>252.64201029562474</v>
      </c>
      <c r="K114" s="193">
        <f t="shared" si="30"/>
        <v>404.42707506732586</v>
      </c>
      <c r="L114" s="192">
        <f t="shared" si="33"/>
        <v>-151.78506477170112</v>
      </c>
      <c r="M114" s="189">
        <f t="shared" si="26"/>
        <v>-12.443410561238956</v>
      </c>
      <c r="N114" s="190">
        <f t="shared" si="27"/>
        <v>-164.22847533294006</v>
      </c>
      <c r="O114" s="189">
        <v>0</v>
      </c>
      <c r="P114" s="189">
        <v>0</v>
      </c>
      <c r="Q114" s="189">
        <v>0</v>
      </c>
      <c r="R114" s="190">
        <f t="shared" si="28"/>
        <v>-164.22847533294006</v>
      </c>
    </row>
    <row r="115" spans="1:18" s="206" customFormat="1" x14ac:dyDescent="0.25">
      <c r="A115" s="147">
        <v>12</v>
      </c>
      <c r="B115" s="204">
        <f t="shared" si="35"/>
        <v>45261</v>
      </c>
      <c r="C115" s="207">
        <f t="shared" si="32"/>
        <v>45294</v>
      </c>
      <c r="D115" s="207">
        <f t="shared" si="32"/>
        <v>45315</v>
      </c>
      <c r="E115" s="205" t="s">
        <v>19</v>
      </c>
      <c r="F115" s="158">
        <v>9</v>
      </c>
      <c r="G115" s="184">
        <v>63</v>
      </c>
      <c r="H115" s="194">
        <f t="shared" si="25"/>
        <v>6.4194773820210456</v>
      </c>
      <c r="I115" s="194">
        <f t="shared" si="34"/>
        <v>4.0101906396130911</v>
      </c>
      <c r="J115" s="195">
        <f t="shared" si="36"/>
        <v>252.64201029562474</v>
      </c>
      <c r="K115" s="196">
        <f t="shared" si="30"/>
        <v>404.42707506732586</v>
      </c>
      <c r="L115" s="197">
        <f t="shared" si="33"/>
        <v>-151.78506477170112</v>
      </c>
      <c r="M115" s="189">
        <f t="shared" si="26"/>
        <v>-12.443410561238956</v>
      </c>
      <c r="N115" s="190">
        <f t="shared" si="27"/>
        <v>-164.22847533294006</v>
      </c>
      <c r="O115" s="189">
        <v>0</v>
      </c>
      <c r="P115" s="189">
        <v>0</v>
      </c>
      <c r="Q115" s="189">
        <v>0</v>
      </c>
      <c r="R115" s="190">
        <f t="shared" si="28"/>
        <v>-164.22847533294006</v>
      </c>
    </row>
    <row r="116" spans="1:18" x14ac:dyDescent="0.25">
      <c r="A116" s="110">
        <v>1</v>
      </c>
      <c r="B116" s="182">
        <f t="shared" si="35"/>
        <v>44927</v>
      </c>
      <c r="C116" s="202">
        <f t="shared" si="32"/>
        <v>44960</v>
      </c>
      <c r="D116" s="202">
        <f t="shared" si="32"/>
        <v>44981</v>
      </c>
      <c r="E116" s="183" t="s">
        <v>13</v>
      </c>
      <c r="F116" s="110">
        <v>9</v>
      </c>
      <c r="G116" s="184">
        <v>967</v>
      </c>
      <c r="H116" s="185">
        <f t="shared" si="25"/>
        <v>6.4194773820210456</v>
      </c>
      <c r="I116" s="185">
        <f t="shared" si="34"/>
        <v>4.0101906396130911</v>
      </c>
      <c r="J116" s="186">
        <f t="shared" si="36"/>
        <v>3877.854348505859</v>
      </c>
      <c r="K116" s="187">
        <f t="shared" si="30"/>
        <v>6207.634628414351</v>
      </c>
      <c r="L116" s="188">
        <f>+J116-K116</f>
        <v>-2329.780279908492</v>
      </c>
      <c r="M116" s="189">
        <f t="shared" si="26"/>
        <v>-190.99647639235033</v>
      </c>
      <c r="N116" s="190">
        <f t="shared" si="27"/>
        <v>-2520.7767563008424</v>
      </c>
      <c r="O116" s="189">
        <v>0</v>
      </c>
      <c r="P116" s="189">
        <v>0</v>
      </c>
      <c r="Q116" s="189">
        <v>0</v>
      </c>
      <c r="R116" s="190">
        <f t="shared" si="28"/>
        <v>-2520.7767563008424</v>
      </c>
    </row>
    <row r="117" spans="1:18" x14ac:dyDescent="0.25">
      <c r="A117" s="147">
        <v>2</v>
      </c>
      <c r="B117" s="182">
        <f t="shared" si="35"/>
        <v>44958</v>
      </c>
      <c r="C117" s="202">
        <f t="shared" ref="C117:D139" si="37">+C105</f>
        <v>44988</v>
      </c>
      <c r="D117" s="202">
        <f t="shared" si="37"/>
        <v>45009</v>
      </c>
      <c r="E117" s="191" t="s">
        <v>13</v>
      </c>
      <c r="F117" s="147">
        <v>9</v>
      </c>
      <c r="G117" s="184">
        <v>955</v>
      </c>
      <c r="H117" s="185">
        <f t="shared" si="25"/>
        <v>6.4194773820210456</v>
      </c>
      <c r="I117" s="185">
        <f t="shared" si="34"/>
        <v>4.0101906396130911</v>
      </c>
      <c r="J117" s="186">
        <f t="shared" si="36"/>
        <v>3829.7320608305022</v>
      </c>
      <c r="K117" s="187">
        <f t="shared" si="30"/>
        <v>6130.6008998300986</v>
      </c>
      <c r="L117" s="188">
        <f>+J117-K117</f>
        <v>-2300.8688389995964</v>
      </c>
      <c r="M117" s="189">
        <f t="shared" si="26"/>
        <v>-188.62630295211434</v>
      </c>
      <c r="N117" s="190">
        <f t="shared" si="27"/>
        <v>-2489.4951419517106</v>
      </c>
      <c r="O117" s="189">
        <v>0</v>
      </c>
      <c r="P117" s="189">
        <v>0</v>
      </c>
      <c r="Q117" s="189">
        <v>0</v>
      </c>
      <c r="R117" s="190">
        <f t="shared" si="28"/>
        <v>-2489.4951419517106</v>
      </c>
    </row>
    <row r="118" spans="1:18" x14ac:dyDescent="0.25">
      <c r="A118" s="147">
        <v>3</v>
      </c>
      <c r="B118" s="182">
        <f t="shared" si="35"/>
        <v>44986</v>
      </c>
      <c r="C118" s="202">
        <f t="shared" si="37"/>
        <v>45021</v>
      </c>
      <c r="D118" s="202">
        <f t="shared" si="37"/>
        <v>45040</v>
      </c>
      <c r="E118" s="191" t="s">
        <v>13</v>
      </c>
      <c r="F118" s="147">
        <v>9</v>
      </c>
      <c r="G118" s="184">
        <v>872</v>
      </c>
      <c r="H118" s="185">
        <f t="shared" si="25"/>
        <v>6.4194773820210456</v>
      </c>
      <c r="I118" s="185">
        <f t="shared" si="34"/>
        <v>4.0101906396130911</v>
      </c>
      <c r="J118" s="186">
        <f t="shared" si="36"/>
        <v>3496.8862377426153</v>
      </c>
      <c r="K118" s="187">
        <f t="shared" si="30"/>
        <v>5597.7842771223513</v>
      </c>
      <c r="L118" s="188">
        <f>+J118-K118</f>
        <v>-2100.898039379736</v>
      </c>
      <c r="M118" s="189">
        <f t="shared" si="26"/>
        <v>-172.2326033238154</v>
      </c>
      <c r="N118" s="190">
        <f t="shared" si="27"/>
        <v>-2273.1306427035515</v>
      </c>
      <c r="O118" s="189">
        <v>0</v>
      </c>
      <c r="P118" s="189">
        <v>0</v>
      </c>
      <c r="Q118" s="189">
        <v>0</v>
      </c>
      <c r="R118" s="190">
        <f t="shared" si="28"/>
        <v>-2273.1306427035515</v>
      </c>
    </row>
    <row r="119" spans="1:18" x14ac:dyDescent="0.25">
      <c r="A119" s="110">
        <v>4</v>
      </c>
      <c r="B119" s="182">
        <f t="shared" si="35"/>
        <v>45017</v>
      </c>
      <c r="C119" s="202">
        <f t="shared" si="37"/>
        <v>45049</v>
      </c>
      <c r="D119" s="202">
        <f t="shared" si="37"/>
        <v>45070</v>
      </c>
      <c r="E119" s="52" t="s">
        <v>13</v>
      </c>
      <c r="F119" s="147">
        <v>9</v>
      </c>
      <c r="G119" s="184">
        <v>602</v>
      </c>
      <c r="H119" s="185">
        <f t="shared" si="25"/>
        <v>6.4194773820210456</v>
      </c>
      <c r="I119" s="185">
        <f t="shared" si="34"/>
        <v>4.0101906396130911</v>
      </c>
      <c r="J119" s="186">
        <f t="shared" si="36"/>
        <v>2414.1347650470807</v>
      </c>
      <c r="K119" s="187">
        <f t="shared" si="30"/>
        <v>3864.5253839766692</v>
      </c>
      <c r="L119" s="188">
        <f t="shared" ref="L119:L127" si="38">+J119-K119</f>
        <v>-1450.3906189295885</v>
      </c>
      <c r="M119" s="189">
        <f t="shared" si="26"/>
        <v>-118.90370091850558</v>
      </c>
      <c r="N119" s="190">
        <f t="shared" si="27"/>
        <v>-1569.2943198480941</v>
      </c>
      <c r="O119" s="189">
        <v>0</v>
      </c>
      <c r="P119" s="189">
        <v>0</v>
      </c>
      <c r="Q119" s="189">
        <v>0</v>
      </c>
      <c r="R119" s="190">
        <f t="shared" si="28"/>
        <v>-1569.2943198480941</v>
      </c>
    </row>
    <row r="120" spans="1:18" x14ac:dyDescent="0.25">
      <c r="A120" s="147">
        <v>5</v>
      </c>
      <c r="B120" s="182">
        <f t="shared" si="35"/>
        <v>45047</v>
      </c>
      <c r="C120" s="202">
        <f t="shared" si="37"/>
        <v>45082</v>
      </c>
      <c r="D120" s="202">
        <f t="shared" si="37"/>
        <v>45103</v>
      </c>
      <c r="E120" s="52" t="s">
        <v>13</v>
      </c>
      <c r="F120" s="147">
        <v>9</v>
      </c>
      <c r="G120" s="184">
        <v>711</v>
      </c>
      <c r="H120" s="185">
        <f t="shared" si="25"/>
        <v>6.4194773820210456</v>
      </c>
      <c r="I120" s="185">
        <f t="shared" si="34"/>
        <v>4.0101906396130911</v>
      </c>
      <c r="J120" s="186">
        <f t="shared" si="36"/>
        <v>2851.2455447649077</v>
      </c>
      <c r="K120" s="187">
        <f t="shared" si="30"/>
        <v>4564.2484186169631</v>
      </c>
      <c r="L120" s="188">
        <f t="shared" si="38"/>
        <v>-1713.0028738520555</v>
      </c>
      <c r="M120" s="189">
        <f t="shared" si="26"/>
        <v>-140.4327763339825</v>
      </c>
      <c r="N120" s="190">
        <f t="shared" si="27"/>
        <v>-1853.4356501860379</v>
      </c>
      <c r="O120" s="189">
        <v>0</v>
      </c>
      <c r="P120" s="189">
        <v>0</v>
      </c>
      <c r="Q120" s="189">
        <v>0</v>
      </c>
      <c r="R120" s="190">
        <f t="shared" si="28"/>
        <v>-1853.4356501860379</v>
      </c>
    </row>
    <row r="121" spans="1:18" x14ac:dyDescent="0.25">
      <c r="A121" s="147">
        <v>6</v>
      </c>
      <c r="B121" s="182">
        <f t="shared" si="35"/>
        <v>45078</v>
      </c>
      <c r="C121" s="202">
        <f t="shared" si="37"/>
        <v>45112</v>
      </c>
      <c r="D121" s="202">
        <f t="shared" si="37"/>
        <v>45131</v>
      </c>
      <c r="E121" s="52" t="s">
        <v>13</v>
      </c>
      <c r="F121" s="147">
        <v>9</v>
      </c>
      <c r="G121" s="184">
        <v>936</v>
      </c>
      <c r="H121" s="185">
        <f t="shared" si="25"/>
        <v>6.4194773820210456</v>
      </c>
      <c r="I121" s="185">
        <f t="shared" si="34"/>
        <v>4.0101906396130911</v>
      </c>
      <c r="J121" s="186">
        <f t="shared" si="36"/>
        <v>3753.5384386778533</v>
      </c>
      <c r="K121" s="187">
        <f t="shared" si="30"/>
        <v>6008.630829571699</v>
      </c>
      <c r="L121" s="192">
        <f t="shared" si="38"/>
        <v>-2255.0923908938457</v>
      </c>
      <c r="M121" s="189">
        <f t="shared" si="26"/>
        <v>-184.87352833840737</v>
      </c>
      <c r="N121" s="190">
        <f t="shared" si="27"/>
        <v>-2439.9659192322533</v>
      </c>
      <c r="O121" s="189">
        <v>0</v>
      </c>
      <c r="P121" s="189">
        <v>0</v>
      </c>
      <c r="Q121" s="189">
        <v>0</v>
      </c>
      <c r="R121" s="190">
        <f t="shared" si="28"/>
        <v>-2439.9659192322533</v>
      </c>
    </row>
    <row r="122" spans="1:18" x14ac:dyDescent="0.25">
      <c r="A122" s="110">
        <v>7</v>
      </c>
      <c r="B122" s="182">
        <f t="shared" si="35"/>
        <v>45108</v>
      </c>
      <c r="C122" s="202">
        <f t="shared" si="37"/>
        <v>45141</v>
      </c>
      <c r="D122" s="202">
        <f t="shared" si="37"/>
        <v>45162</v>
      </c>
      <c r="E122" s="52" t="s">
        <v>13</v>
      </c>
      <c r="F122" s="147">
        <v>9</v>
      </c>
      <c r="G122" s="184">
        <v>932</v>
      </c>
      <c r="H122" s="185">
        <f t="shared" si="25"/>
        <v>6.4194773820210456</v>
      </c>
      <c r="I122" s="185">
        <f t="shared" si="34"/>
        <v>4.0101906396130911</v>
      </c>
      <c r="J122" s="186">
        <f t="shared" si="36"/>
        <v>3737.4976761194007</v>
      </c>
      <c r="K122" s="193">
        <f t="shared" si="30"/>
        <v>5982.9529200436145</v>
      </c>
      <c r="L122" s="192">
        <f t="shared" si="38"/>
        <v>-2245.4552439242138</v>
      </c>
      <c r="M122" s="189">
        <f t="shared" si="26"/>
        <v>-184.08347052499536</v>
      </c>
      <c r="N122" s="190">
        <f t="shared" si="27"/>
        <v>-2429.5387144492092</v>
      </c>
      <c r="O122" s="189">
        <v>0</v>
      </c>
      <c r="P122" s="189">
        <v>0</v>
      </c>
      <c r="Q122" s="189">
        <v>0</v>
      </c>
      <c r="R122" s="190">
        <f t="shared" si="28"/>
        <v>-2429.5387144492092</v>
      </c>
    </row>
    <row r="123" spans="1:18" x14ac:dyDescent="0.25">
      <c r="A123" s="147">
        <v>8</v>
      </c>
      <c r="B123" s="182">
        <f t="shared" si="35"/>
        <v>45139</v>
      </c>
      <c r="C123" s="202">
        <f t="shared" si="37"/>
        <v>45174</v>
      </c>
      <c r="D123" s="202">
        <f t="shared" si="37"/>
        <v>45194</v>
      </c>
      <c r="E123" s="52" t="s">
        <v>13</v>
      </c>
      <c r="F123" s="147">
        <v>9</v>
      </c>
      <c r="G123" s="184">
        <v>1025</v>
      </c>
      <c r="H123" s="185">
        <f t="shared" si="25"/>
        <v>6.4194773820210456</v>
      </c>
      <c r="I123" s="185">
        <f t="shared" si="34"/>
        <v>4.0101906396130911</v>
      </c>
      <c r="J123" s="186">
        <f t="shared" si="36"/>
        <v>4110.4454056034183</v>
      </c>
      <c r="K123" s="193">
        <f t="shared" si="30"/>
        <v>6579.9643165715715</v>
      </c>
      <c r="L123" s="192">
        <f t="shared" si="38"/>
        <v>-2469.5189109681532</v>
      </c>
      <c r="M123" s="189">
        <f t="shared" si="26"/>
        <v>-202.45231468682428</v>
      </c>
      <c r="N123" s="190">
        <f t="shared" si="27"/>
        <v>-2671.9712256549774</v>
      </c>
      <c r="O123" s="189">
        <v>0</v>
      </c>
      <c r="P123" s="189">
        <v>0</v>
      </c>
      <c r="Q123" s="189">
        <v>0</v>
      </c>
      <c r="R123" s="190">
        <f t="shared" si="28"/>
        <v>-2671.9712256549774</v>
      </c>
    </row>
    <row r="124" spans="1:18" x14ac:dyDescent="0.25">
      <c r="A124" s="147">
        <v>9</v>
      </c>
      <c r="B124" s="182">
        <f t="shared" si="35"/>
        <v>45170</v>
      </c>
      <c r="C124" s="202">
        <f t="shared" si="37"/>
        <v>45203</v>
      </c>
      <c r="D124" s="202">
        <f t="shared" si="37"/>
        <v>45223</v>
      </c>
      <c r="E124" s="52" t="s">
        <v>13</v>
      </c>
      <c r="F124" s="147">
        <v>9</v>
      </c>
      <c r="G124" s="184">
        <v>934</v>
      </c>
      <c r="H124" s="185">
        <f t="shared" si="25"/>
        <v>6.4194773820210456</v>
      </c>
      <c r="I124" s="185">
        <f t="shared" si="34"/>
        <v>4.0101906396130911</v>
      </c>
      <c r="J124" s="186">
        <f t="shared" si="36"/>
        <v>3745.5180573986272</v>
      </c>
      <c r="K124" s="193">
        <f t="shared" si="30"/>
        <v>5995.7918748076563</v>
      </c>
      <c r="L124" s="192">
        <f t="shared" si="38"/>
        <v>-2250.2738174090291</v>
      </c>
      <c r="M124" s="189">
        <f t="shared" si="26"/>
        <v>-184.47849943170135</v>
      </c>
      <c r="N124" s="190">
        <f t="shared" si="27"/>
        <v>-2434.7523168407306</v>
      </c>
      <c r="O124" s="189">
        <v>0</v>
      </c>
      <c r="P124" s="189">
        <v>0</v>
      </c>
      <c r="Q124" s="189">
        <v>0</v>
      </c>
      <c r="R124" s="190">
        <f t="shared" si="28"/>
        <v>-2434.7523168407306</v>
      </c>
    </row>
    <row r="125" spans="1:18" x14ac:dyDescent="0.25">
      <c r="A125" s="110">
        <v>10</v>
      </c>
      <c r="B125" s="182">
        <f t="shared" si="35"/>
        <v>45200</v>
      </c>
      <c r="C125" s="202">
        <f t="shared" si="37"/>
        <v>45233</v>
      </c>
      <c r="D125" s="202">
        <f t="shared" si="37"/>
        <v>45254</v>
      </c>
      <c r="E125" s="52" t="s">
        <v>13</v>
      </c>
      <c r="F125" s="147">
        <v>9</v>
      </c>
      <c r="G125" s="184">
        <v>700</v>
      </c>
      <c r="H125" s="185">
        <f t="shared" si="25"/>
        <v>6.4194773820210456</v>
      </c>
      <c r="I125" s="185">
        <f t="shared" si="34"/>
        <v>4.0101906396130911</v>
      </c>
      <c r="J125" s="186">
        <f t="shared" si="36"/>
        <v>2807.1334477291639</v>
      </c>
      <c r="K125" s="193">
        <f t="shared" si="30"/>
        <v>4493.6341674147316</v>
      </c>
      <c r="L125" s="192">
        <f t="shared" si="38"/>
        <v>-1686.5007196855677</v>
      </c>
      <c r="M125" s="189">
        <f t="shared" si="26"/>
        <v>-138.26011734709951</v>
      </c>
      <c r="N125" s="190">
        <f t="shared" si="27"/>
        <v>-1824.7608370326673</v>
      </c>
      <c r="O125" s="189">
        <v>0</v>
      </c>
      <c r="P125" s="189">
        <v>0</v>
      </c>
      <c r="Q125" s="189">
        <v>0</v>
      </c>
      <c r="R125" s="190">
        <f t="shared" si="28"/>
        <v>-1824.7608370326673</v>
      </c>
    </row>
    <row r="126" spans="1:18" x14ac:dyDescent="0.25">
      <c r="A126" s="147">
        <v>11</v>
      </c>
      <c r="B126" s="182">
        <f t="shared" si="35"/>
        <v>45231</v>
      </c>
      <c r="C126" s="202">
        <f t="shared" si="37"/>
        <v>45266</v>
      </c>
      <c r="D126" s="202">
        <f t="shared" si="37"/>
        <v>45285</v>
      </c>
      <c r="E126" s="52" t="s">
        <v>13</v>
      </c>
      <c r="F126" s="147">
        <v>9</v>
      </c>
      <c r="G126" s="184">
        <v>867</v>
      </c>
      <c r="H126" s="185">
        <f t="shared" si="25"/>
        <v>6.4194773820210456</v>
      </c>
      <c r="I126" s="185">
        <f t="shared" si="34"/>
        <v>4.0101906396130911</v>
      </c>
      <c r="J126" s="186">
        <f t="shared" si="36"/>
        <v>3476.8352845445502</v>
      </c>
      <c r="K126" s="193">
        <f t="shared" si="30"/>
        <v>5565.6868902122469</v>
      </c>
      <c r="L126" s="192">
        <f t="shared" si="38"/>
        <v>-2088.8516056676967</v>
      </c>
      <c r="M126" s="189">
        <f t="shared" si="26"/>
        <v>-171.2450310570504</v>
      </c>
      <c r="N126" s="190">
        <f t="shared" si="27"/>
        <v>-2260.096636724747</v>
      </c>
      <c r="O126" s="189">
        <v>0</v>
      </c>
      <c r="P126" s="189">
        <v>0</v>
      </c>
      <c r="Q126" s="189">
        <v>0</v>
      </c>
      <c r="R126" s="190">
        <f t="shared" si="28"/>
        <v>-2260.096636724747</v>
      </c>
    </row>
    <row r="127" spans="1:18" s="206" customFormat="1" x14ac:dyDescent="0.25">
      <c r="A127" s="147">
        <v>12</v>
      </c>
      <c r="B127" s="204">
        <f t="shared" si="35"/>
        <v>45261</v>
      </c>
      <c r="C127" s="207">
        <f t="shared" si="37"/>
        <v>45294</v>
      </c>
      <c r="D127" s="207">
        <f t="shared" si="37"/>
        <v>45315</v>
      </c>
      <c r="E127" s="205" t="s">
        <v>13</v>
      </c>
      <c r="F127" s="158">
        <v>9</v>
      </c>
      <c r="G127" s="184">
        <v>916</v>
      </c>
      <c r="H127" s="194">
        <f t="shared" si="25"/>
        <v>6.4194773820210456</v>
      </c>
      <c r="I127" s="194">
        <f t="shared" si="34"/>
        <v>4.0101906396130911</v>
      </c>
      <c r="J127" s="195">
        <f t="shared" si="36"/>
        <v>3673.3346258855913</v>
      </c>
      <c r="K127" s="196">
        <f t="shared" si="30"/>
        <v>5880.2412819312776</v>
      </c>
      <c r="L127" s="197">
        <f t="shared" si="38"/>
        <v>-2206.9066560456863</v>
      </c>
      <c r="M127" s="189">
        <f t="shared" si="26"/>
        <v>-180.92323927134737</v>
      </c>
      <c r="N127" s="190">
        <f t="shared" si="27"/>
        <v>-2387.8298953170338</v>
      </c>
      <c r="O127" s="189">
        <v>0</v>
      </c>
      <c r="P127" s="189">
        <v>0</v>
      </c>
      <c r="Q127" s="189">
        <v>0</v>
      </c>
      <c r="R127" s="190">
        <f t="shared" si="28"/>
        <v>-2387.8298953170338</v>
      </c>
    </row>
    <row r="128" spans="1:18" x14ac:dyDescent="0.25">
      <c r="A128" s="110">
        <v>1</v>
      </c>
      <c r="B128" s="182">
        <f t="shared" si="35"/>
        <v>44927</v>
      </c>
      <c r="C128" s="202">
        <f t="shared" si="37"/>
        <v>44960</v>
      </c>
      <c r="D128" s="202">
        <f t="shared" si="37"/>
        <v>44981</v>
      </c>
      <c r="E128" s="183" t="s">
        <v>15</v>
      </c>
      <c r="F128" s="110">
        <v>9</v>
      </c>
      <c r="G128" s="184">
        <v>6</v>
      </c>
      <c r="H128" s="185">
        <f t="shared" si="25"/>
        <v>6.4194773820210456</v>
      </c>
      <c r="I128" s="185">
        <f t="shared" ref="I128:I147" si="39">$J$3</f>
        <v>4.0101906396130911</v>
      </c>
      <c r="J128" s="186">
        <f t="shared" si="36"/>
        <v>24.061143837678546</v>
      </c>
      <c r="K128" s="187">
        <f t="shared" si="30"/>
        <v>38.516864292126272</v>
      </c>
      <c r="L128" s="188">
        <f>+J128-K128</f>
        <v>-14.455720454447725</v>
      </c>
      <c r="M128" s="189">
        <f t="shared" si="26"/>
        <v>-1.1850867201179958</v>
      </c>
      <c r="N128" s="190">
        <f t="shared" si="27"/>
        <v>-15.640807174565721</v>
      </c>
      <c r="O128" s="189">
        <v>0</v>
      </c>
      <c r="P128" s="189">
        <v>0</v>
      </c>
      <c r="Q128" s="189">
        <v>0</v>
      </c>
      <c r="R128" s="190">
        <f t="shared" si="28"/>
        <v>-15.640807174565721</v>
      </c>
    </row>
    <row r="129" spans="1:18" x14ac:dyDescent="0.25">
      <c r="A129" s="147">
        <v>2</v>
      </c>
      <c r="B129" s="182">
        <f t="shared" si="35"/>
        <v>44958</v>
      </c>
      <c r="C129" s="202">
        <f t="shared" si="37"/>
        <v>44988</v>
      </c>
      <c r="D129" s="202">
        <f t="shared" si="37"/>
        <v>45009</v>
      </c>
      <c r="E129" s="191" t="s">
        <v>15</v>
      </c>
      <c r="F129" s="147">
        <v>9</v>
      </c>
      <c r="G129" s="184">
        <v>5</v>
      </c>
      <c r="H129" s="185">
        <f t="shared" si="25"/>
        <v>6.4194773820210456</v>
      </c>
      <c r="I129" s="185">
        <f t="shared" si="39"/>
        <v>4.0101906396130911</v>
      </c>
      <c r="J129" s="186">
        <f t="shared" si="36"/>
        <v>20.050953198065457</v>
      </c>
      <c r="K129" s="187">
        <f t="shared" si="30"/>
        <v>32.097386910105229</v>
      </c>
      <c r="L129" s="188">
        <f>+J129-K129</f>
        <v>-12.046433712039772</v>
      </c>
      <c r="M129" s="189">
        <f t="shared" si="26"/>
        <v>-0.98757226676499654</v>
      </c>
      <c r="N129" s="190">
        <f t="shared" si="27"/>
        <v>-13.034005978804768</v>
      </c>
      <c r="O129" s="189">
        <v>0</v>
      </c>
      <c r="P129" s="189">
        <v>0</v>
      </c>
      <c r="Q129" s="189">
        <v>0</v>
      </c>
      <c r="R129" s="190">
        <f t="shared" si="28"/>
        <v>-13.034005978804768</v>
      </c>
    </row>
    <row r="130" spans="1:18" x14ac:dyDescent="0.25">
      <c r="A130" s="147">
        <v>3</v>
      </c>
      <c r="B130" s="182">
        <f t="shared" si="35"/>
        <v>44986</v>
      </c>
      <c r="C130" s="202">
        <f t="shared" si="37"/>
        <v>45021</v>
      </c>
      <c r="D130" s="202">
        <f t="shared" si="37"/>
        <v>45040</v>
      </c>
      <c r="E130" s="191" t="s">
        <v>15</v>
      </c>
      <c r="F130" s="147">
        <v>9</v>
      </c>
      <c r="G130" s="184">
        <v>5</v>
      </c>
      <c r="H130" s="185">
        <f t="shared" si="25"/>
        <v>6.4194773820210456</v>
      </c>
      <c r="I130" s="185">
        <f t="shared" si="39"/>
        <v>4.0101906396130911</v>
      </c>
      <c r="J130" s="186">
        <f t="shared" si="36"/>
        <v>20.050953198065457</v>
      </c>
      <c r="K130" s="187">
        <f t="shared" si="30"/>
        <v>32.097386910105229</v>
      </c>
      <c r="L130" s="188">
        <f>+J130-K130</f>
        <v>-12.046433712039772</v>
      </c>
      <c r="M130" s="189">
        <f t="shared" si="26"/>
        <v>-0.98757226676499654</v>
      </c>
      <c r="N130" s="190">
        <f t="shared" si="27"/>
        <v>-13.034005978804768</v>
      </c>
      <c r="O130" s="189">
        <v>0</v>
      </c>
      <c r="P130" s="189">
        <v>0</v>
      </c>
      <c r="Q130" s="189">
        <v>0</v>
      </c>
      <c r="R130" s="190">
        <f t="shared" si="28"/>
        <v>-13.034005978804768</v>
      </c>
    </row>
    <row r="131" spans="1:18" x14ac:dyDescent="0.25">
      <c r="A131" s="110">
        <v>4</v>
      </c>
      <c r="B131" s="182">
        <f t="shared" si="35"/>
        <v>45017</v>
      </c>
      <c r="C131" s="202">
        <f t="shared" si="37"/>
        <v>45049</v>
      </c>
      <c r="D131" s="202">
        <f t="shared" si="37"/>
        <v>45070</v>
      </c>
      <c r="E131" s="191" t="s">
        <v>15</v>
      </c>
      <c r="F131" s="147">
        <v>9</v>
      </c>
      <c r="G131" s="184">
        <v>7</v>
      </c>
      <c r="H131" s="185">
        <f t="shared" si="25"/>
        <v>6.4194773820210456</v>
      </c>
      <c r="I131" s="185">
        <f t="shared" si="39"/>
        <v>4.0101906396130911</v>
      </c>
      <c r="J131" s="186">
        <f t="shared" si="36"/>
        <v>28.071334477291636</v>
      </c>
      <c r="K131" s="187">
        <f t="shared" si="30"/>
        <v>44.936341674147322</v>
      </c>
      <c r="L131" s="188">
        <f t="shared" ref="L131:L141" si="40">+J131-K131</f>
        <v>-16.865007196855686</v>
      </c>
      <c r="M131" s="189">
        <f t="shared" si="26"/>
        <v>-1.3826011734709951</v>
      </c>
      <c r="N131" s="190">
        <f t="shared" si="27"/>
        <v>-18.247608370326681</v>
      </c>
      <c r="O131" s="189">
        <v>0</v>
      </c>
      <c r="P131" s="189">
        <v>0</v>
      </c>
      <c r="Q131" s="189">
        <v>0</v>
      </c>
      <c r="R131" s="190">
        <f t="shared" si="28"/>
        <v>-18.247608370326681</v>
      </c>
    </row>
    <row r="132" spans="1:18" x14ac:dyDescent="0.25">
      <c r="A132" s="147">
        <v>5</v>
      </c>
      <c r="B132" s="182">
        <f t="shared" si="35"/>
        <v>45047</v>
      </c>
      <c r="C132" s="202">
        <f t="shared" si="37"/>
        <v>45082</v>
      </c>
      <c r="D132" s="202">
        <f t="shared" si="37"/>
        <v>45103</v>
      </c>
      <c r="E132" s="52" t="s">
        <v>15</v>
      </c>
      <c r="F132" s="147">
        <v>9</v>
      </c>
      <c r="G132" s="184">
        <v>4</v>
      </c>
      <c r="H132" s="185">
        <f t="shared" si="25"/>
        <v>6.4194773820210456</v>
      </c>
      <c r="I132" s="185">
        <f t="shared" si="39"/>
        <v>4.0101906396130911</v>
      </c>
      <c r="J132" s="186">
        <f t="shared" si="36"/>
        <v>16.040762558452364</v>
      </c>
      <c r="K132" s="187">
        <f t="shared" si="30"/>
        <v>25.677909528084182</v>
      </c>
      <c r="L132" s="188">
        <f t="shared" si="40"/>
        <v>-9.6371469696318179</v>
      </c>
      <c r="M132" s="189">
        <f t="shared" si="26"/>
        <v>-0.79005781341199721</v>
      </c>
      <c r="N132" s="190">
        <f t="shared" si="27"/>
        <v>-10.427204783043814</v>
      </c>
      <c r="O132" s="189">
        <v>0</v>
      </c>
      <c r="P132" s="189">
        <v>0</v>
      </c>
      <c r="Q132" s="189">
        <v>0</v>
      </c>
      <c r="R132" s="190">
        <f t="shared" si="28"/>
        <v>-10.427204783043814</v>
      </c>
    </row>
    <row r="133" spans="1:18" x14ac:dyDescent="0.25">
      <c r="A133" s="147">
        <v>6</v>
      </c>
      <c r="B133" s="182">
        <f t="shared" si="35"/>
        <v>45078</v>
      </c>
      <c r="C133" s="202">
        <f t="shared" si="37"/>
        <v>45112</v>
      </c>
      <c r="D133" s="202">
        <f t="shared" si="37"/>
        <v>45131</v>
      </c>
      <c r="E133" s="52" t="s">
        <v>15</v>
      </c>
      <c r="F133" s="147">
        <v>9</v>
      </c>
      <c r="G133" s="184">
        <v>14</v>
      </c>
      <c r="H133" s="185">
        <f t="shared" si="25"/>
        <v>6.4194773820210456</v>
      </c>
      <c r="I133" s="185">
        <f t="shared" si="39"/>
        <v>4.0101906396130911</v>
      </c>
      <c r="J133" s="186">
        <f t="shared" si="36"/>
        <v>56.142668954583272</v>
      </c>
      <c r="K133" s="187">
        <f t="shared" si="30"/>
        <v>89.872683348294643</v>
      </c>
      <c r="L133" s="192">
        <f t="shared" si="40"/>
        <v>-33.730014393711372</v>
      </c>
      <c r="M133" s="189">
        <f t="shared" si="26"/>
        <v>-2.7652023469419902</v>
      </c>
      <c r="N133" s="190">
        <f t="shared" si="27"/>
        <v>-36.495216740653362</v>
      </c>
      <c r="O133" s="189">
        <v>0</v>
      </c>
      <c r="P133" s="189">
        <v>0</v>
      </c>
      <c r="Q133" s="189">
        <v>0</v>
      </c>
      <c r="R133" s="190">
        <f t="shared" si="28"/>
        <v>-36.495216740653362</v>
      </c>
    </row>
    <row r="134" spans="1:18" x14ac:dyDescent="0.25">
      <c r="A134" s="110">
        <v>7</v>
      </c>
      <c r="B134" s="182">
        <f t="shared" si="35"/>
        <v>45108</v>
      </c>
      <c r="C134" s="202">
        <f t="shared" si="37"/>
        <v>45141</v>
      </c>
      <c r="D134" s="202">
        <f t="shared" si="37"/>
        <v>45162</v>
      </c>
      <c r="E134" s="52" t="s">
        <v>15</v>
      </c>
      <c r="F134" s="147">
        <v>9</v>
      </c>
      <c r="G134" s="184">
        <v>13</v>
      </c>
      <c r="H134" s="185">
        <f t="shared" si="25"/>
        <v>6.4194773820210456</v>
      </c>
      <c r="I134" s="185">
        <f t="shared" si="39"/>
        <v>4.0101906396130911</v>
      </c>
      <c r="J134" s="186">
        <f t="shared" si="36"/>
        <v>52.132478314970186</v>
      </c>
      <c r="K134" s="193">
        <f t="shared" ref="K134:K197" si="41">+$G134*H134</f>
        <v>83.453205966273586</v>
      </c>
      <c r="L134" s="192">
        <f t="shared" si="40"/>
        <v>-31.3207276513034</v>
      </c>
      <c r="M134" s="189">
        <f t="shared" si="26"/>
        <v>-2.5676878935889906</v>
      </c>
      <c r="N134" s="190">
        <f t="shared" si="27"/>
        <v>-33.888415544892389</v>
      </c>
      <c r="O134" s="189">
        <v>0</v>
      </c>
      <c r="P134" s="189">
        <v>0</v>
      </c>
      <c r="Q134" s="189">
        <v>0</v>
      </c>
      <c r="R134" s="190">
        <f t="shared" si="28"/>
        <v>-33.888415544892389</v>
      </c>
    </row>
    <row r="135" spans="1:18" x14ac:dyDescent="0.25">
      <c r="A135" s="147">
        <v>8</v>
      </c>
      <c r="B135" s="182">
        <f t="shared" si="35"/>
        <v>45139</v>
      </c>
      <c r="C135" s="202">
        <f t="shared" si="37"/>
        <v>45174</v>
      </c>
      <c r="D135" s="202">
        <f t="shared" si="37"/>
        <v>45194</v>
      </c>
      <c r="E135" s="52" t="s">
        <v>15</v>
      </c>
      <c r="F135" s="147">
        <v>9</v>
      </c>
      <c r="G135" s="184">
        <v>19</v>
      </c>
      <c r="H135" s="185">
        <f t="shared" si="25"/>
        <v>6.4194773820210456</v>
      </c>
      <c r="I135" s="185">
        <f t="shared" si="39"/>
        <v>4.0101906396130911</v>
      </c>
      <c r="J135" s="186">
        <f t="shared" si="36"/>
        <v>76.193622152648729</v>
      </c>
      <c r="K135" s="193">
        <f t="shared" si="41"/>
        <v>121.97007025839987</v>
      </c>
      <c r="L135" s="192">
        <f t="shared" si="40"/>
        <v>-45.776448105751143</v>
      </c>
      <c r="M135" s="189">
        <f t="shared" si="26"/>
        <v>-3.7527746137069871</v>
      </c>
      <c r="N135" s="190">
        <f t="shared" si="27"/>
        <v>-49.529222719458133</v>
      </c>
      <c r="O135" s="189">
        <v>0</v>
      </c>
      <c r="P135" s="189">
        <v>0</v>
      </c>
      <c r="Q135" s="189">
        <v>0</v>
      </c>
      <c r="R135" s="190">
        <f t="shared" si="28"/>
        <v>-49.529222719458133</v>
      </c>
    </row>
    <row r="136" spans="1:18" x14ac:dyDescent="0.25">
      <c r="A136" s="147">
        <v>9</v>
      </c>
      <c r="B136" s="182">
        <f t="shared" si="35"/>
        <v>45170</v>
      </c>
      <c r="C136" s="202">
        <f t="shared" si="37"/>
        <v>45203</v>
      </c>
      <c r="D136" s="202">
        <f t="shared" si="37"/>
        <v>45223</v>
      </c>
      <c r="E136" s="52" t="s">
        <v>15</v>
      </c>
      <c r="F136" s="147">
        <v>9</v>
      </c>
      <c r="G136" s="184">
        <v>18</v>
      </c>
      <c r="H136" s="185">
        <f t="shared" si="25"/>
        <v>6.4194773820210456</v>
      </c>
      <c r="I136" s="185">
        <f t="shared" si="39"/>
        <v>4.0101906396130911</v>
      </c>
      <c r="J136" s="186">
        <f t="shared" si="36"/>
        <v>72.183431513035643</v>
      </c>
      <c r="K136" s="193">
        <f t="shared" si="41"/>
        <v>115.55059287637881</v>
      </c>
      <c r="L136" s="192">
        <f t="shared" si="40"/>
        <v>-43.367161363343172</v>
      </c>
      <c r="M136" s="189">
        <f t="shared" si="26"/>
        <v>-3.5552601603539875</v>
      </c>
      <c r="N136" s="190">
        <f t="shared" si="27"/>
        <v>-46.92242152369716</v>
      </c>
      <c r="O136" s="189">
        <v>0</v>
      </c>
      <c r="P136" s="189">
        <v>0</v>
      </c>
      <c r="Q136" s="189">
        <v>0</v>
      </c>
      <c r="R136" s="190">
        <f t="shared" si="28"/>
        <v>-46.92242152369716</v>
      </c>
    </row>
    <row r="137" spans="1:18" x14ac:dyDescent="0.25">
      <c r="A137" s="110">
        <v>10</v>
      </c>
      <c r="B137" s="182">
        <f t="shared" si="35"/>
        <v>45200</v>
      </c>
      <c r="C137" s="202">
        <f t="shared" si="37"/>
        <v>45233</v>
      </c>
      <c r="D137" s="202">
        <f t="shared" si="37"/>
        <v>45254</v>
      </c>
      <c r="E137" s="52" t="s">
        <v>15</v>
      </c>
      <c r="F137" s="147">
        <v>9</v>
      </c>
      <c r="G137" s="184">
        <v>6</v>
      </c>
      <c r="H137" s="185">
        <f t="shared" si="25"/>
        <v>6.4194773820210456</v>
      </c>
      <c r="I137" s="185">
        <f t="shared" si="39"/>
        <v>4.0101906396130911</v>
      </c>
      <c r="J137" s="186">
        <f t="shared" si="36"/>
        <v>24.061143837678546</v>
      </c>
      <c r="K137" s="193">
        <f t="shared" si="41"/>
        <v>38.516864292126272</v>
      </c>
      <c r="L137" s="192">
        <f t="shared" si="40"/>
        <v>-14.455720454447725</v>
      </c>
      <c r="M137" s="189">
        <f t="shared" si="26"/>
        <v>-1.1850867201179958</v>
      </c>
      <c r="N137" s="190">
        <f t="shared" si="27"/>
        <v>-15.640807174565721</v>
      </c>
      <c r="O137" s="189">
        <v>0</v>
      </c>
      <c r="P137" s="189">
        <v>0</v>
      </c>
      <c r="Q137" s="189">
        <v>0</v>
      </c>
      <c r="R137" s="190">
        <f t="shared" si="28"/>
        <v>-15.640807174565721</v>
      </c>
    </row>
    <row r="138" spans="1:18" x14ac:dyDescent="0.25">
      <c r="A138" s="147">
        <v>11</v>
      </c>
      <c r="B138" s="182">
        <f t="shared" si="35"/>
        <v>45231</v>
      </c>
      <c r="C138" s="202">
        <f t="shared" si="37"/>
        <v>45266</v>
      </c>
      <c r="D138" s="202">
        <f t="shared" si="37"/>
        <v>45285</v>
      </c>
      <c r="E138" s="52" t="s">
        <v>15</v>
      </c>
      <c r="F138" s="147">
        <v>9</v>
      </c>
      <c r="G138" s="184">
        <v>6</v>
      </c>
      <c r="H138" s="185">
        <f t="shared" si="25"/>
        <v>6.4194773820210456</v>
      </c>
      <c r="I138" s="185">
        <f t="shared" si="39"/>
        <v>4.0101906396130911</v>
      </c>
      <c r="J138" s="186">
        <f t="shared" si="36"/>
        <v>24.061143837678546</v>
      </c>
      <c r="K138" s="193">
        <f t="shared" si="41"/>
        <v>38.516864292126272</v>
      </c>
      <c r="L138" s="192">
        <f t="shared" si="40"/>
        <v>-14.455720454447725</v>
      </c>
      <c r="M138" s="189">
        <f t="shared" si="26"/>
        <v>-1.1850867201179958</v>
      </c>
      <c r="N138" s="190">
        <f t="shared" si="27"/>
        <v>-15.640807174565721</v>
      </c>
      <c r="O138" s="189">
        <v>0</v>
      </c>
      <c r="P138" s="189">
        <v>0</v>
      </c>
      <c r="Q138" s="189">
        <v>0</v>
      </c>
      <c r="R138" s="190">
        <f t="shared" si="28"/>
        <v>-15.640807174565721</v>
      </c>
    </row>
    <row r="139" spans="1:18" s="206" customFormat="1" x14ac:dyDescent="0.25">
      <c r="A139" s="147">
        <v>12</v>
      </c>
      <c r="B139" s="204">
        <f t="shared" si="35"/>
        <v>45261</v>
      </c>
      <c r="C139" s="202">
        <f t="shared" si="37"/>
        <v>45294</v>
      </c>
      <c r="D139" s="202">
        <f t="shared" si="37"/>
        <v>45315</v>
      </c>
      <c r="E139" s="205" t="s">
        <v>15</v>
      </c>
      <c r="F139" s="158">
        <v>9</v>
      </c>
      <c r="G139" s="184">
        <v>5</v>
      </c>
      <c r="H139" s="194">
        <f t="shared" si="25"/>
        <v>6.4194773820210456</v>
      </c>
      <c r="I139" s="194">
        <f t="shared" si="39"/>
        <v>4.0101906396130911</v>
      </c>
      <c r="J139" s="195">
        <f t="shared" si="36"/>
        <v>20.050953198065457</v>
      </c>
      <c r="K139" s="196">
        <f t="shared" si="41"/>
        <v>32.097386910105229</v>
      </c>
      <c r="L139" s="197">
        <f t="shared" si="40"/>
        <v>-12.046433712039772</v>
      </c>
      <c r="M139" s="189">
        <f t="shared" si="26"/>
        <v>-0.98757226676499654</v>
      </c>
      <c r="N139" s="190">
        <f t="shared" si="27"/>
        <v>-13.034005978804768</v>
      </c>
      <c r="O139" s="189">
        <v>0</v>
      </c>
      <c r="P139" s="189">
        <v>0</v>
      </c>
      <c r="Q139" s="189">
        <v>0</v>
      </c>
      <c r="R139" s="190">
        <f t="shared" si="28"/>
        <v>-13.034005978804768</v>
      </c>
    </row>
    <row r="140" spans="1:18" x14ac:dyDescent="0.25">
      <c r="A140" s="110">
        <v>1</v>
      </c>
      <c r="B140" s="182">
        <f t="shared" si="35"/>
        <v>44927</v>
      </c>
      <c r="C140" s="199">
        <f t="shared" ref="C140:D151" si="42">+C128</f>
        <v>44960</v>
      </c>
      <c r="D140" s="199">
        <f t="shared" si="42"/>
        <v>44981</v>
      </c>
      <c r="E140" s="209" t="s">
        <v>16</v>
      </c>
      <c r="F140" s="147">
        <v>9</v>
      </c>
      <c r="G140" s="184">
        <v>4</v>
      </c>
      <c r="H140" s="185">
        <f t="shared" si="25"/>
        <v>6.4194773820210456</v>
      </c>
      <c r="I140" s="185">
        <f t="shared" si="39"/>
        <v>4.0101906396130911</v>
      </c>
      <c r="J140" s="186">
        <f t="shared" si="36"/>
        <v>16.040762558452364</v>
      </c>
      <c r="K140" s="187">
        <f t="shared" si="41"/>
        <v>25.677909528084182</v>
      </c>
      <c r="L140" s="188">
        <f t="shared" si="40"/>
        <v>-9.6371469696318179</v>
      </c>
      <c r="M140" s="189">
        <f t="shared" si="26"/>
        <v>-0.79005781341199721</v>
      </c>
      <c r="N140" s="190">
        <f t="shared" si="27"/>
        <v>-10.427204783043814</v>
      </c>
      <c r="O140" s="189">
        <v>0</v>
      </c>
      <c r="P140" s="189">
        <v>0</v>
      </c>
      <c r="Q140" s="189">
        <v>0</v>
      </c>
      <c r="R140" s="190">
        <f t="shared" si="28"/>
        <v>-10.427204783043814</v>
      </c>
    </row>
    <row r="141" spans="1:18" x14ac:dyDescent="0.25">
      <c r="A141" s="147">
        <v>2</v>
      </c>
      <c r="B141" s="182">
        <f t="shared" si="35"/>
        <v>44958</v>
      </c>
      <c r="C141" s="202">
        <f t="shared" si="42"/>
        <v>44988</v>
      </c>
      <c r="D141" s="202">
        <f t="shared" si="42"/>
        <v>45009</v>
      </c>
      <c r="E141" s="52" t="s">
        <v>16</v>
      </c>
      <c r="F141" s="147">
        <v>9</v>
      </c>
      <c r="G141" s="184">
        <v>5</v>
      </c>
      <c r="H141" s="185">
        <f t="shared" si="25"/>
        <v>6.4194773820210456</v>
      </c>
      <c r="I141" s="185">
        <f t="shared" si="39"/>
        <v>4.0101906396130911</v>
      </c>
      <c r="J141" s="186">
        <f t="shared" si="36"/>
        <v>20.050953198065457</v>
      </c>
      <c r="K141" s="187">
        <f t="shared" si="41"/>
        <v>32.097386910105229</v>
      </c>
      <c r="L141" s="188">
        <f t="shared" si="40"/>
        <v>-12.046433712039772</v>
      </c>
      <c r="M141" s="189">
        <f t="shared" si="26"/>
        <v>-0.98757226676499654</v>
      </c>
      <c r="N141" s="190">
        <f t="shared" si="27"/>
        <v>-13.034005978804768</v>
      </c>
      <c r="O141" s="189">
        <v>0</v>
      </c>
      <c r="P141" s="189">
        <v>0</v>
      </c>
      <c r="Q141" s="189">
        <v>0</v>
      </c>
      <c r="R141" s="190">
        <f t="shared" si="28"/>
        <v>-13.034005978804768</v>
      </c>
    </row>
    <row r="142" spans="1:18" x14ac:dyDescent="0.25">
      <c r="A142" s="147">
        <v>3</v>
      </c>
      <c r="B142" s="182">
        <f t="shared" si="35"/>
        <v>44986</v>
      </c>
      <c r="C142" s="202">
        <f t="shared" si="42"/>
        <v>45021</v>
      </c>
      <c r="D142" s="202">
        <f t="shared" si="42"/>
        <v>45040</v>
      </c>
      <c r="E142" s="52" t="s">
        <v>16</v>
      </c>
      <c r="F142" s="147">
        <v>9</v>
      </c>
      <c r="G142" s="184">
        <v>1</v>
      </c>
      <c r="H142" s="185">
        <f t="shared" si="25"/>
        <v>6.4194773820210456</v>
      </c>
      <c r="I142" s="185">
        <f t="shared" si="39"/>
        <v>4.0101906396130911</v>
      </c>
      <c r="J142" s="186">
        <f t="shared" si="36"/>
        <v>4.0101906396130911</v>
      </c>
      <c r="K142" s="187">
        <f t="shared" si="41"/>
        <v>6.4194773820210456</v>
      </c>
      <c r="L142" s="188">
        <f>+J142-K142</f>
        <v>-2.4092867424079545</v>
      </c>
      <c r="M142" s="189">
        <f t="shared" si="26"/>
        <v>-0.1975144533529993</v>
      </c>
      <c r="N142" s="190">
        <f t="shared" si="27"/>
        <v>-2.6068011957609536</v>
      </c>
      <c r="O142" s="189">
        <v>0</v>
      </c>
      <c r="P142" s="189">
        <v>0</v>
      </c>
      <c r="Q142" s="189">
        <v>0</v>
      </c>
      <c r="R142" s="190">
        <f t="shared" si="28"/>
        <v>-2.6068011957609536</v>
      </c>
    </row>
    <row r="143" spans="1:18" x14ac:dyDescent="0.25">
      <c r="A143" s="110">
        <v>4</v>
      </c>
      <c r="B143" s="182">
        <f t="shared" si="35"/>
        <v>45017</v>
      </c>
      <c r="C143" s="202">
        <f t="shared" si="42"/>
        <v>45049</v>
      </c>
      <c r="D143" s="202">
        <f t="shared" si="42"/>
        <v>45070</v>
      </c>
      <c r="E143" s="52" t="s">
        <v>16</v>
      </c>
      <c r="F143" s="147">
        <v>9</v>
      </c>
      <c r="G143" s="184">
        <v>7</v>
      </c>
      <c r="H143" s="185">
        <f t="shared" si="25"/>
        <v>6.4194773820210456</v>
      </c>
      <c r="I143" s="185">
        <f t="shared" si="39"/>
        <v>4.0101906396130911</v>
      </c>
      <c r="J143" s="186">
        <f t="shared" si="36"/>
        <v>28.071334477291636</v>
      </c>
      <c r="K143" s="187">
        <f t="shared" si="41"/>
        <v>44.936341674147322</v>
      </c>
      <c r="L143" s="188">
        <f t="shared" ref="L143:L153" si="43">+J143-K143</f>
        <v>-16.865007196855686</v>
      </c>
      <c r="M143" s="189">
        <f t="shared" si="26"/>
        <v>-1.3826011734709951</v>
      </c>
      <c r="N143" s="190">
        <f t="shared" si="27"/>
        <v>-18.247608370326681</v>
      </c>
      <c r="O143" s="189">
        <v>0</v>
      </c>
      <c r="P143" s="189">
        <v>0</v>
      </c>
      <c r="Q143" s="189">
        <v>0</v>
      </c>
      <c r="R143" s="190">
        <f t="shared" si="28"/>
        <v>-18.247608370326681</v>
      </c>
    </row>
    <row r="144" spans="1:18" x14ac:dyDescent="0.25">
      <c r="A144" s="147">
        <v>5</v>
      </c>
      <c r="B144" s="182">
        <f t="shared" si="35"/>
        <v>45047</v>
      </c>
      <c r="C144" s="202">
        <f t="shared" si="42"/>
        <v>45082</v>
      </c>
      <c r="D144" s="202">
        <f t="shared" si="42"/>
        <v>45103</v>
      </c>
      <c r="E144" s="52" t="s">
        <v>16</v>
      </c>
      <c r="F144" s="147">
        <v>9</v>
      </c>
      <c r="G144" s="184">
        <v>3</v>
      </c>
      <c r="H144" s="185">
        <f t="shared" si="25"/>
        <v>6.4194773820210456</v>
      </c>
      <c r="I144" s="185">
        <f t="shared" si="39"/>
        <v>4.0101906396130911</v>
      </c>
      <c r="J144" s="186">
        <f t="shared" si="36"/>
        <v>12.030571918839273</v>
      </c>
      <c r="K144" s="187">
        <f t="shared" si="41"/>
        <v>19.258432146063136</v>
      </c>
      <c r="L144" s="188">
        <f t="shared" si="43"/>
        <v>-7.2278602272238626</v>
      </c>
      <c r="M144" s="189">
        <f t="shared" si="26"/>
        <v>-0.59254336005899788</v>
      </c>
      <c r="N144" s="190">
        <f t="shared" si="27"/>
        <v>-7.8204035872828603</v>
      </c>
      <c r="O144" s="189">
        <v>0</v>
      </c>
      <c r="P144" s="189">
        <v>0</v>
      </c>
      <c r="Q144" s="189">
        <v>0</v>
      </c>
      <c r="R144" s="190">
        <f t="shared" si="28"/>
        <v>-7.8204035872828603</v>
      </c>
    </row>
    <row r="145" spans="1:19" x14ac:dyDescent="0.25">
      <c r="A145" s="147">
        <v>6</v>
      </c>
      <c r="B145" s="182">
        <f t="shared" si="35"/>
        <v>45078</v>
      </c>
      <c r="C145" s="202">
        <f t="shared" si="42"/>
        <v>45112</v>
      </c>
      <c r="D145" s="202">
        <f t="shared" si="42"/>
        <v>45131</v>
      </c>
      <c r="E145" s="52" t="s">
        <v>16</v>
      </c>
      <c r="F145" s="147">
        <v>9</v>
      </c>
      <c r="G145" s="184">
        <v>7</v>
      </c>
      <c r="H145" s="185">
        <f t="shared" si="25"/>
        <v>6.4194773820210456</v>
      </c>
      <c r="I145" s="185">
        <f t="shared" si="39"/>
        <v>4.0101906396130911</v>
      </c>
      <c r="J145" s="186">
        <f t="shared" si="36"/>
        <v>28.071334477291636</v>
      </c>
      <c r="K145" s="187">
        <f t="shared" si="41"/>
        <v>44.936341674147322</v>
      </c>
      <c r="L145" s="192">
        <f t="shared" si="43"/>
        <v>-16.865007196855686</v>
      </c>
      <c r="M145" s="189">
        <f t="shared" si="26"/>
        <v>-1.3826011734709951</v>
      </c>
      <c r="N145" s="190">
        <f t="shared" si="27"/>
        <v>-18.247608370326681</v>
      </c>
      <c r="O145" s="189">
        <v>0</v>
      </c>
      <c r="P145" s="189">
        <v>0</v>
      </c>
      <c r="Q145" s="189">
        <v>0</v>
      </c>
      <c r="R145" s="190">
        <f t="shared" si="28"/>
        <v>-18.247608370326681</v>
      </c>
    </row>
    <row r="146" spans="1:19" x14ac:dyDescent="0.25">
      <c r="A146" s="110">
        <v>7</v>
      </c>
      <c r="B146" s="182">
        <f t="shared" si="35"/>
        <v>45108</v>
      </c>
      <c r="C146" s="202">
        <f t="shared" si="42"/>
        <v>45141</v>
      </c>
      <c r="D146" s="202">
        <f t="shared" si="42"/>
        <v>45162</v>
      </c>
      <c r="E146" s="52" t="s">
        <v>16</v>
      </c>
      <c r="F146" s="147">
        <v>9</v>
      </c>
      <c r="G146" s="184">
        <v>5</v>
      </c>
      <c r="H146" s="185">
        <f t="shared" si="25"/>
        <v>6.4194773820210456</v>
      </c>
      <c r="I146" s="185">
        <f t="shared" si="39"/>
        <v>4.0101906396130911</v>
      </c>
      <c r="J146" s="186">
        <f t="shared" si="36"/>
        <v>20.050953198065457</v>
      </c>
      <c r="K146" s="193">
        <f t="shared" si="41"/>
        <v>32.097386910105229</v>
      </c>
      <c r="L146" s="192">
        <f t="shared" si="43"/>
        <v>-12.046433712039772</v>
      </c>
      <c r="M146" s="189">
        <f t="shared" si="26"/>
        <v>-0.98757226676499654</v>
      </c>
      <c r="N146" s="190">
        <f t="shared" si="27"/>
        <v>-13.034005978804768</v>
      </c>
      <c r="O146" s="189">
        <v>0</v>
      </c>
      <c r="P146" s="189">
        <v>0</v>
      </c>
      <c r="Q146" s="189">
        <v>0</v>
      </c>
      <c r="R146" s="190">
        <f t="shared" si="28"/>
        <v>-13.034005978804768</v>
      </c>
    </row>
    <row r="147" spans="1:19" x14ac:dyDescent="0.25">
      <c r="A147" s="147">
        <v>8</v>
      </c>
      <c r="B147" s="182">
        <f t="shared" si="35"/>
        <v>45139</v>
      </c>
      <c r="C147" s="202">
        <f t="shared" si="42"/>
        <v>45174</v>
      </c>
      <c r="D147" s="202">
        <f t="shared" si="42"/>
        <v>45194</v>
      </c>
      <c r="E147" s="52" t="s">
        <v>16</v>
      </c>
      <c r="F147" s="147">
        <v>9</v>
      </c>
      <c r="G147" s="184">
        <v>5</v>
      </c>
      <c r="H147" s="185">
        <f t="shared" si="25"/>
        <v>6.4194773820210456</v>
      </c>
      <c r="I147" s="185">
        <f t="shared" si="39"/>
        <v>4.0101906396130911</v>
      </c>
      <c r="J147" s="186">
        <f t="shared" si="36"/>
        <v>20.050953198065457</v>
      </c>
      <c r="K147" s="193">
        <f t="shared" si="41"/>
        <v>32.097386910105229</v>
      </c>
      <c r="L147" s="192">
        <f t="shared" si="43"/>
        <v>-12.046433712039772</v>
      </c>
      <c r="M147" s="189">
        <f t="shared" si="26"/>
        <v>-0.98757226676499654</v>
      </c>
      <c r="N147" s="190">
        <f t="shared" si="27"/>
        <v>-13.034005978804768</v>
      </c>
      <c r="O147" s="189">
        <v>0</v>
      </c>
      <c r="P147" s="189">
        <v>0</v>
      </c>
      <c r="Q147" s="189">
        <v>0</v>
      </c>
      <c r="R147" s="190">
        <f t="shared" si="28"/>
        <v>-13.034005978804768</v>
      </c>
    </row>
    <row r="148" spans="1:19" x14ac:dyDescent="0.25">
      <c r="A148" s="147">
        <v>9</v>
      </c>
      <c r="B148" s="182">
        <f t="shared" si="35"/>
        <v>45170</v>
      </c>
      <c r="C148" s="202">
        <f t="shared" si="42"/>
        <v>45203</v>
      </c>
      <c r="D148" s="202">
        <f t="shared" si="42"/>
        <v>45223</v>
      </c>
      <c r="E148" s="52" t="s">
        <v>16</v>
      </c>
      <c r="F148" s="147">
        <v>9</v>
      </c>
      <c r="G148" s="184">
        <v>6</v>
      </c>
      <c r="H148" s="185">
        <f t="shared" si="25"/>
        <v>6.4194773820210456</v>
      </c>
      <c r="I148" s="185">
        <f t="shared" ref="I148:I179" si="44">$J$3</f>
        <v>4.0101906396130911</v>
      </c>
      <c r="J148" s="186">
        <f t="shared" si="36"/>
        <v>24.061143837678546</v>
      </c>
      <c r="K148" s="193">
        <f t="shared" si="41"/>
        <v>38.516864292126272</v>
      </c>
      <c r="L148" s="192">
        <f t="shared" si="43"/>
        <v>-14.455720454447725</v>
      </c>
      <c r="M148" s="189">
        <f t="shared" si="26"/>
        <v>-1.1850867201179958</v>
      </c>
      <c r="N148" s="190">
        <f t="shared" si="27"/>
        <v>-15.640807174565721</v>
      </c>
      <c r="O148" s="189">
        <v>0</v>
      </c>
      <c r="P148" s="189">
        <v>0</v>
      </c>
      <c r="Q148" s="189">
        <v>0</v>
      </c>
      <c r="R148" s="190">
        <f t="shared" si="28"/>
        <v>-15.640807174565721</v>
      </c>
    </row>
    <row r="149" spans="1:19" x14ac:dyDescent="0.25">
      <c r="A149" s="110">
        <v>10</v>
      </c>
      <c r="B149" s="182">
        <f t="shared" ref="B149:B211" si="45">DATE($R$1,A149,1)</f>
        <v>45200</v>
      </c>
      <c r="C149" s="202">
        <f t="shared" si="42"/>
        <v>45233</v>
      </c>
      <c r="D149" s="202">
        <f t="shared" si="42"/>
        <v>45254</v>
      </c>
      <c r="E149" s="52" t="s">
        <v>16</v>
      </c>
      <c r="F149" s="147">
        <v>9</v>
      </c>
      <c r="G149" s="184">
        <v>5</v>
      </c>
      <c r="H149" s="185">
        <f t="shared" ref="H149:H211" si="46">+$K$3</f>
        <v>6.4194773820210456</v>
      </c>
      <c r="I149" s="185">
        <f t="shared" si="44"/>
        <v>4.0101906396130911</v>
      </c>
      <c r="J149" s="186">
        <f t="shared" ref="J149:J211" si="47">+$G149*I149</f>
        <v>20.050953198065457</v>
      </c>
      <c r="K149" s="193">
        <f t="shared" si="41"/>
        <v>32.097386910105229</v>
      </c>
      <c r="L149" s="192">
        <f t="shared" si="43"/>
        <v>-12.046433712039772</v>
      </c>
      <c r="M149" s="189">
        <f t="shared" ref="M149:M211" si="48">G149/$G$212*$M$14</f>
        <v>-0.98757226676499654</v>
      </c>
      <c r="N149" s="190">
        <f t="shared" ref="N149:N211" si="49">SUM(L149:M149)</f>
        <v>-13.034005978804768</v>
      </c>
      <c r="O149" s="189">
        <v>0</v>
      </c>
      <c r="P149" s="189">
        <v>0</v>
      </c>
      <c r="Q149" s="189">
        <v>0</v>
      </c>
      <c r="R149" s="190">
        <f t="shared" ref="R149:R211" si="50">+N149-Q149</f>
        <v>-13.034005978804768</v>
      </c>
    </row>
    <row r="150" spans="1:19" x14ac:dyDescent="0.25">
      <c r="A150" s="147">
        <v>11</v>
      </c>
      <c r="B150" s="182">
        <f t="shared" si="45"/>
        <v>45231</v>
      </c>
      <c r="C150" s="202">
        <f t="shared" si="42"/>
        <v>45266</v>
      </c>
      <c r="D150" s="202">
        <f t="shared" si="42"/>
        <v>45285</v>
      </c>
      <c r="E150" s="52" t="s">
        <v>16</v>
      </c>
      <c r="F150" s="147">
        <v>9</v>
      </c>
      <c r="G150" s="184">
        <v>4</v>
      </c>
      <c r="H150" s="185">
        <f t="shared" si="46"/>
        <v>6.4194773820210456</v>
      </c>
      <c r="I150" s="185">
        <f t="shared" si="44"/>
        <v>4.0101906396130911</v>
      </c>
      <c r="J150" s="186">
        <f t="shared" si="47"/>
        <v>16.040762558452364</v>
      </c>
      <c r="K150" s="193">
        <f t="shared" si="41"/>
        <v>25.677909528084182</v>
      </c>
      <c r="L150" s="192">
        <f t="shared" si="43"/>
        <v>-9.6371469696318179</v>
      </c>
      <c r="M150" s="189">
        <f t="shared" si="48"/>
        <v>-0.79005781341199721</v>
      </c>
      <c r="N150" s="190">
        <f t="shared" si="49"/>
        <v>-10.427204783043814</v>
      </c>
      <c r="O150" s="189">
        <v>0</v>
      </c>
      <c r="P150" s="189">
        <v>0</v>
      </c>
      <c r="Q150" s="189">
        <v>0</v>
      </c>
      <c r="R150" s="190">
        <f t="shared" si="50"/>
        <v>-10.427204783043814</v>
      </c>
    </row>
    <row r="151" spans="1:19" s="206" customFormat="1" x14ac:dyDescent="0.25">
      <c r="A151" s="147">
        <v>12</v>
      </c>
      <c r="B151" s="204">
        <f t="shared" si="45"/>
        <v>45261</v>
      </c>
      <c r="C151" s="202">
        <f t="shared" si="42"/>
        <v>45294</v>
      </c>
      <c r="D151" s="202">
        <f t="shared" si="42"/>
        <v>45315</v>
      </c>
      <c r="E151" s="205" t="s">
        <v>16</v>
      </c>
      <c r="F151" s="158">
        <v>9</v>
      </c>
      <c r="G151" s="184">
        <v>4</v>
      </c>
      <c r="H151" s="194">
        <f t="shared" si="46"/>
        <v>6.4194773820210456</v>
      </c>
      <c r="I151" s="194">
        <f t="shared" si="44"/>
        <v>4.0101906396130911</v>
      </c>
      <c r="J151" s="195">
        <f t="shared" si="47"/>
        <v>16.040762558452364</v>
      </c>
      <c r="K151" s="196">
        <f t="shared" si="41"/>
        <v>25.677909528084182</v>
      </c>
      <c r="L151" s="197">
        <f t="shared" si="43"/>
        <v>-9.6371469696318179</v>
      </c>
      <c r="M151" s="189">
        <f t="shared" si="48"/>
        <v>-0.79005781341199721</v>
      </c>
      <c r="N151" s="190">
        <f t="shared" si="49"/>
        <v>-10.427204783043814</v>
      </c>
      <c r="O151" s="189">
        <v>0</v>
      </c>
      <c r="P151" s="189">
        <v>0</v>
      </c>
      <c r="Q151" s="189">
        <v>0</v>
      </c>
      <c r="R151" s="190">
        <f t="shared" si="50"/>
        <v>-10.427204783043814</v>
      </c>
    </row>
    <row r="152" spans="1:19" x14ac:dyDescent="0.25">
      <c r="A152" s="110">
        <v>1</v>
      </c>
      <c r="B152" s="182">
        <f t="shared" si="45"/>
        <v>44927</v>
      </c>
      <c r="C152" s="199">
        <f t="shared" ref="C152:D171" si="51">+C140</f>
        <v>44960</v>
      </c>
      <c r="D152" s="199">
        <f t="shared" si="51"/>
        <v>44981</v>
      </c>
      <c r="E152" s="209" t="s">
        <v>53</v>
      </c>
      <c r="F152" s="110">
        <v>9</v>
      </c>
      <c r="G152" s="184">
        <v>113</v>
      </c>
      <c r="H152" s="185">
        <f t="shared" si="46"/>
        <v>6.4194773820210456</v>
      </c>
      <c r="I152" s="185">
        <f t="shared" si="44"/>
        <v>4.0101906396130911</v>
      </c>
      <c r="J152" s="186">
        <f t="shared" si="47"/>
        <v>453.15154227627932</v>
      </c>
      <c r="K152" s="187">
        <f t="shared" si="41"/>
        <v>725.40094416837815</v>
      </c>
      <c r="L152" s="188">
        <f t="shared" si="43"/>
        <v>-272.24940189209883</v>
      </c>
      <c r="M152" s="189">
        <f t="shared" si="48"/>
        <v>-22.319133228888919</v>
      </c>
      <c r="N152" s="190">
        <f t="shared" si="49"/>
        <v>-294.56853512098775</v>
      </c>
      <c r="O152" s="189">
        <v>0</v>
      </c>
      <c r="P152" s="189">
        <v>0</v>
      </c>
      <c r="Q152" s="189">
        <v>0</v>
      </c>
      <c r="R152" s="190">
        <f t="shared" si="50"/>
        <v>-294.56853512098775</v>
      </c>
    </row>
    <row r="153" spans="1:19" x14ac:dyDescent="0.25">
      <c r="A153" s="147">
        <v>2</v>
      </c>
      <c r="B153" s="182">
        <f t="shared" si="45"/>
        <v>44958</v>
      </c>
      <c r="C153" s="202">
        <f t="shared" si="51"/>
        <v>44988</v>
      </c>
      <c r="D153" s="202">
        <f t="shared" si="51"/>
        <v>45009</v>
      </c>
      <c r="E153" s="210" t="s">
        <v>53</v>
      </c>
      <c r="F153" s="147">
        <v>9</v>
      </c>
      <c r="G153" s="184">
        <v>108</v>
      </c>
      <c r="H153" s="185">
        <f t="shared" si="46"/>
        <v>6.4194773820210456</v>
      </c>
      <c r="I153" s="185">
        <f t="shared" si="44"/>
        <v>4.0101906396130911</v>
      </c>
      <c r="J153" s="186">
        <f t="shared" si="47"/>
        <v>433.10058907821383</v>
      </c>
      <c r="K153" s="187">
        <f t="shared" si="41"/>
        <v>693.30355725827292</v>
      </c>
      <c r="L153" s="188">
        <f t="shared" si="43"/>
        <v>-260.20296818005909</v>
      </c>
      <c r="M153" s="189">
        <f t="shared" si="48"/>
        <v>-21.331560962123927</v>
      </c>
      <c r="N153" s="190">
        <f t="shared" si="49"/>
        <v>-281.53452914218303</v>
      </c>
      <c r="O153" s="189">
        <v>0</v>
      </c>
      <c r="P153" s="189">
        <v>0</v>
      </c>
      <c r="Q153" s="189">
        <v>0</v>
      </c>
      <c r="R153" s="190">
        <f t="shared" si="50"/>
        <v>-281.53452914218303</v>
      </c>
    </row>
    <row r="154" spans="1:19" x14ac:dyDescent="0.25">
      <c r="A154" s="147">
        <v>3</v>
      </c>
      <c r="B154" s="182">
        <f t="shared" si="45"/>
        <v>44986</v>
      </c>
      <c r="C154" s="202">
        <f t="shared" si="51"/>
        <v>45021</v>
      </c>
      <c r="D154" s="202">
        <f t="shared" si="51"/>
        <v>45040</v>
      </c>
      <c r="E154" s="210" t="s">
        <v>53</v>
      </c>
      <c r="F154" s="147">
        <v>9</v>
      </c>
      <c r="G154" s="184">
        <v>96</v>
      </c>
      <c r="H154" s="185">
        <f t="shared" si="46"/>
        <v>6.4194773820210456</v>
      </c>
      <c r="I154" s="185">
        <f t="shared" si="44"/>
        <v>4.0101906396130911</v>
      </c>
      <c r="J154" s="186">
        <f t="shared" si="47"/>
        <v>384.97830140285674</v>
      </c>
      <c r="K154" s="187">
        <f t="shared" si="41"/>
        <v>616.26982867402035</v>
      </c>
      <c r="L154" s="188">
        <f>+J154-K154</f>
        <v>-231.2915272711636</v>
      </c>
      <c r="M154" s="189">
        <f t="shared" si="48"/>
        <v>-18.961387521887932</v>
      </c>
      <c r="N154" s="190">
        <f t="shared" si="49"/>
        <v>-250.25291479305153</v>
      </c>
      <c r="O154" s="189">
        <v>0</v>
      </c>
      <c r="P154" s="189">
        <v>0</v>
      </c>
      <c r="Q154" s="189">
        <v>0</v>
      </c>
      <c r="R154" s="190">
        <f t="shared" si="50"/>
        <v>-250.25291479305153</v>
      </c>
    </row>
    <row r="155" spans="1:19" x14ac:dyDescent="0.25">
      <c r="A155" s="110">
        <v>4</v>
      </c>
      <c r="B155" s="182">
        <f t="shared" si="45"/>
        <v>45017</v>
      </c>
      <c r="C155" s="202">
        <f t="shared" si="51"/>
        <v>45049</v>
      </c>
      <c r="D155" s="202">
        <f t="shared" si="51"/>
        <v>45070</v>
      </c>
      <c r="E155" s="210" t="s">
        <v>53</v>
      </c>
      <c r="F155" s="147">
        <v>9</v>
      </c>
      <c r="G155" s="184">
        <v>91</v>
      </c>
      <c r="H155" s="185">
        <f t="shared" si="46"/>
        <v>6.4194773820210456</v>
      </c>
      <c r="I155" s="185">
        <f t="shared" si="44"/>
        <v>4.0101906396130911</v>
      </c>
      <c r="J155" s="186">
        <f t="shared" si="47"/>
        <v>364.92734820479131</v>
      </c>
      <c r="K155" s="187">
        <f t="shared" si="41"/>
        <v>584.17244176391512</v>
      </c>
      <c r="L155" s="188">
        <f t="shared" ref="L155:L165" si="52">+J155-K155</f>
        <v>-219.2450935591238</v>
      </c>
      <c r="M155" s="189">
        <f t="shared" si="48"/>
        <v>-17.973815255122936</v>
      </c>
      <c r="N155" s="190">
        <f t="shared" si="49"/>
        <v>-237.21890881424673</v>
      </c>
      <c r="O155" s="189">
        <v>0</v>
      </c>
      <c r="P155" s="189">
        <v>0</v>
      </c>
      <c r="Q155" s="189">
        <v>0</v>
      </c>
      <c r="R155" s="190">
        <f t="shared" si="50"/>
        <v>-237.21890881424673</v>
      </c>
    </row>
    <row r="156" spans="1:19" x14ac:dyDescent="0.25">
      <c r="A156" s="147">
        <v>5</v>
      </c>
      <c r="B156" s="182">
        <f t="shared" si="45"/>
        <v>45047</v>
      </c>
      <c r="C156" s="202">
        <f t="shared" si="51"/>
        <v>45082</v>
      </c>
      <c r="D156" s="202">
        <f t="shared" si="51"/>
        <v>45103</v>
      </c>
      <c r="E156" s="210" t="s">
        <v>53</v>
      </c>
      <c r="F156" s="147">
        <v>9</v>
      </c>
      <c r="G156" s="184">
        <v>125</v>
      </c>
      <c r="H156" s="185">
        <f t="shared" si="46"/>
        <v>6.4194773820210456</v>
      </c>
      <c r="I156" s="185">
        <f t="shared" si="44"/>
        <v>4.0101906396130911</v>
      </c>
      <c r="J156" s="186">
        <f t="shared" si="47"/>
        <v>501.2738299516364</v>
      </c>
      <c r="K156" s="187">
        <f t="shared" si="41"/>
        <v>802.43467275263072</v>
      </c>
      <c r="L156" s="188">
        <f t="shared" si="52"/>
        <v>-301.16084280099432</v>
      </c>
      <c r="M156" s="189">
        <f t="shared" si="48"/>
        <v>-24.689306669124914</v>
      </c>
      <c r="N156" s="190">
        <f t="shared" si="49"/>
        <v>-325.85014947011922</v>
      </c>
      <c r="O156" s="189">
        <v>0</v>
      </c>
      <c r="P156" s="189">
        <v>0</v>
      </c>
      <c r="Q156" s="189">
        <v>0</v>
      </c>
      <c r="R156" s="190">
        <f t="shared" si="50"/>
        <v>-325.85014947011922</v>
      </c>
    </row>
    <row r="157" spans="1:19" x14ac:dyDescent="0.25">
      <c r="A157" s="147">
        <v>6</v>
      </c>
      <c r="B157" s="182">
        <f t="shared" si="45"/>
        <v>45078</v>
      </c>
      <c r="C157" s="202">
        <f t="shared" si="51"/>
        <v>45112</v>
      </c>
      <c r="D157" s="202">
        <f t="shared" si="51"/>
        <v>45131</v>
      </c>
      <c r="E157" s="210" t="s">
        <v>53</v>
      </c>
      <c r="F157" s="147">
        <v>9</v>
      </c>
      <c r="G157" s="184">
        <v>167</v>
      </c>
      <c r="H157" s="185">
        <f t="shared" si="46"/>
        <v>6.4194773820210456</v>
      </c>
      <c r="I157" s="185">
        <f t="shared" si="44"/>
        <v>4.0101906396130911</v>
      </c>
      <c r="J157" s="186">
        <f t="shared" si="47"/>
        <v>669.70183681538617</v>
      </c>
      <c r="K157" s="187">
        <f t="shared" si="41"/>
        <v>1072.0527227975147</v>
      </c>
      <c r="L157" s="192">
        <f t="shared" si="52"/>
        <v>-402.35088598212849</v>
      </c>
      <c r="M157" s="189">
        <f t="shared" si="48"/>
        <v>-32.984913709950888</v>
      </c>
      <c r="N157" s="190">
        <f t="shared" si="49"/>
        <v>-435.33579969207938</v>
      </c>
      <c r="O157" s="189">
        <v>0</v>
      </c>
      <c r="P157" s="189">
        <v>0</v>
      </c>
      <c r="Q157" s="189">
        <v>0</v>
      </c>
      <c r="R157" s="190">
        <f t="shared" si="50"/>
        <v>-435.33579969207938</v>
      </c>
    </row>
    <row r="158" spans="1:19" x14ac:dyDescent="0.25">
      <c r="A158" s="110">
        <v>7</v>
      </c>
      <c r="B158" s="182">
        <f t="shared" si="45"/>
        <v>45108</v>
      </c>
      <c r="C158" s="202">
        <f t="shared" si="51"/>
        <v>45141</v>
      </c>
      <c r="D158" s="202">
        <f t="shared" si="51"/>
        <v>45162</v>
      </c>
      <c r="E158" s="210" t="s">
        <v>53</v>
      </c>
      <c r="F158" s="147">
        <v>9</v>
      </c>
      <c r="G158" s="184">
        <v>160</v>
      </c>
      <c r="H158" s="185">
        <f t="shared" si="46"/>
        <v>6.4194773820210456</v>
      </c>
      <c r="I158" s="185">
        <f t="shared" si="44"/>
        <v>4.0101906396130911</v>
      </c>
      <c r="J158" s="186">
        <f t="shared" si="47"/>
        <v>641.63050233809463</v>
      </c>
      <c r="K158" s="193">
        <f t="shared" si="41"/>
        <v>1027.1163811233673</v>
      </c>
      <c r="L158" s="192">
        <f t="shared" si="52"/>
        <v>-385.48587878527269</v>
      </c>
      <c r="M158" s="189">
        <f t="shared" si="48"/>
        <v>-31.602312536479889</v>
      </c>
      <c r="N158" s="190">
        <f t="shared" si="49"/>
        <v>-417.08819132175256</v>
      </c>
      <c r="O158" s="189">
        <v>0</v>
      </c>
      <c r="P158" s="189">
        <v>0</v>
      </c>
      <c r="Q158" s="189">
        <v>0</v>
      </c>
      <c r="R158" s="190">
        <f t="shared" si="50"/>
        <v>-417.08819132175256</v>
      </c>
    </row>
    <row r="159" spans="1:19" x14ac:dyDescent="0.25">
      <c r="A159" s="147">
        <v>8</v>
      </c>
      <c r="B159" s="182">
        <f t="shared" si="45"/>
        <v>45139</v>
      </c>
      <c r="C159" s="202">
        <f t="shared" si="51"/>
        <v>45174</v>
      </c>
      <c r="D159" s="202">
        <f t="shared" si="51"/>
        <v>45194</v>
      </c>
      <c r="E159" s="210" t="s">
        <v>53</v>
      </c>
      <c r="F159" s="110">
        <v>9</v>
      </c>
      <c r="G159" s="184">
        <v>181</v>
      </c>
      <c r="H159" s="185">
        <f t="shared" si="46"/>
        <v>6.4194773820210456</v>
      </c>
      <c r="I159" s="185">
        <f t="shared" si="44"/>
        <v>4.0101906396130911</v>
      </c>
      <c r="J159" s="186">
        <f t="shared" si="47"/>
        <v>725.84450576996949</v>
      </c>
      <c r="K159" s="193">
        <f t="shared" si="41"/>
        <v>1161.9254061458093</v>
      </c>
      <c r="L159" s="192">
        <f t="shared" si="52"/>
        <v>-436.08090037583986</v>
      </c>
      <c r="M159" s="189">
        <f t="shared" si="48"/>
        <v>-35.750116056892871</v>
      </c>
      <c r="N159" s="190">
        <f t="shared" si="49"/>
        <v>-471.83101643273272</v>
      </c>
      <c r="O159" s="189">
        <v>0</v>
      </c>
      <c r="P159" s="189">
        <v>0</v>
      </c>
      <c r="Q159" s="189">
        <v>0</v>
      </c>
      <c r="R159" s="190">
        <f t="shared" si="50"/>
        <v>-471.83101643273272</v>
      </c>
      <c r="S159" s="50"/>
    </row>
    <row r="160" spans="1:19" x14ac:dyDescent="0.25">
      <c r="A160" s="147">
        <v>9</v>
      </c>
      <c r="B160" s="182">
        <f t="shared" si="45"/>
        <v>45170</v>
      </c>
      <c r="C160" s="202">
        <f t="shared" si="51"/>
        <v>45203</v>
      </c>
      <c r="D160" s="202">
        <f t="shared" si="51"/>
        <v>45223</v>
      </c>
      <c r="E160" s="210" t="s">
        <v>53</v>
      </c>
      <c r="F160" s="110">
        <v>9</v>
      </c>
      <c r="G160" s="184">
        <v>157</v>
      </c>
      <c r="H160" s="185">
        <f t="shared" si="46"/>
        <v>6.4194773820210456</v>
      </c>
      <c r="I160" s="185">
        <f t="shared" si="44"/>
        <v>4.0101906396130911</v>
      </c>
      <c r="J160" s="186">
        <f t="shared" si="47"/>
        <v>629.59993041925532</v>
      </c>
      <c r="K160" s="193">
        <f t="shared" si="41"/>
        <v>1007.8579489773042</v>
      </c>
      <c r="L160" s="192">
        <f t="shared" si="52"/>
        <v>-378.25801855804889</v>
      </c>
      <c r="M160" s="189">
        <f t="shared" si="48"/>
        <v>-31.009769176420889</v>
      </c>
      <c r="N160" s="190">
        <f t="shared" si="49"/>
        <v>-409.26778773446978</v>
      </c>
      <c r="O160" s="189">
        <v>0</v>
      </c>
      <c r="P160" s="189">
        <v>0</v>
      </c>
      <c r="Q160" s="189">
        <v>0</v>
      </c>
      <c r="R160" s="190">
        <f t="shared" si="50"/>
        <v>-409.26778773446978</v>
      </c>
    </row>
    <row r="161" spans="1:19" x14ac:dyDescent="0.25">
      <c r="A161" s="110">
        <v>10</v>
      </c>
      <c r="B161" s="182">
        <f t="shared" si="45"/>
        <v>45200</v>
      </c>
      <c r="C161" s="202">
        <f t="shared" si="51"/>
        <v>45233</v>
      </c>
      <c r="D161" s="202">
        <f t="shared" si="51"/>
        <v>45254</v>
      </c>
      <c r="E161" s="210" t="s">
        <v>53</v>
      </c>
      <c r="F161" s="110">
        <v>9</v>
      </c>
      <c r="G161" s="184">
        <v>118</v>
      </c>
      <c r="H161" s="185">
        <f t="shared" si="46"/>
        <v>6.4194773820210456</v>
      </c>
      <c r="I161" s="185">
        <f t="shared" si="44"/>
        <v>4.0101906396130911</v>
      </c>
      <c r="J161" s="186">
        <f t="shared" si="47"/>
        <v>473.20249547434474</v>
      </c>
      <c r="K161" s="193">
        <f t="shared" si="41"/>
        <v>757.49833107848337</v>
      </c>
      <c r="L161" s="192">
        <f t="shared" si="52"/>
        <v>-284.29583560413863</v>
      </c>
      <c r="M161" s="189">
        <f t="shared" si="48"/>
        <v>-23.306705495653919</v>
      </c>
      <c r="N161" s="190">
        <f t="shared" si="49"/>
        <v>-307.60254109979257</v>
      </c>
      <c r="O161" s="189">
        <v>0</v>
      </c>
      <c r="P161" s="189">
        <v>0</v>
      </c>
      <c r="Q161" s="189">
        <v>0</v>
      </c>
      <c r="R161" s="190">
        <f t="shared" si="50"/>
        <v>-307.60254109979257</v>
      </c>
    </row>
    <row r="162" spans="1:19" x14ac:dyDescent="0.25">
      <c r="A162" s="147">
        <v>11</v>
      </c>
      <c r="B162" s="182">
        <f t="shared" si="45"/>
        <v>45231</v>
      </c>
      <c r="C162" s="202">
        <f t="shared" si="51"/>
        <v>45266</v>
      </c>
      <c r="D162" s="202">
        <f t="shared" si="51"/>
        <v>45285</v>
      </c>
      <c r="E162" s="210" t="s">
        <v>53</v>
      </c>
      <c r="F162" s="110">
        <v>9</v>
      </c>
      <c r="G162" s="184">
        <v>102</v>
      </c>
      <c r="H162" s="185">
        <f t="shared" si="46"/>
        <v>6.4194773820210456</v>
      </c>
      <c r="I162" s="185">
        <f t="shared" si="44"/>
        <v>4.0101906396130911</v>
      </c>
      <c r="J162" s="186">
        <f t="shared" si="47"/>
        <v>409.03944524053531</v>
      </c>
      <c r="K162" s="193">
        <f t="shared" si="41"/>
        <v>654.78669296614669</v>
      </c>
      <c r="L162" s="192">
        <f t="shared" si="52"/>
        <v>-245.74724772561137</v>
      </c>
      <c r="M162" s="189">
        <f t="shared" si="48"/>
        <v>-20.146474242005926</v>
      </c>
      <c r="N162" s="190">
        <f t="shared" si="49"/>
        <v>-265.8937219676173</v>
      </c>
      <c r="O162" s="189">
        <v>0</v>
      </c>
      <c r="P162" s="189">
        <v>0</v>
      </c>
      <c r="Q162" s="189">
        <v>0</v>
      </c>
      <c r="R162" s="190">
        <f t="shared" si="50"/>
        <v>-265.8937219676173</v>
      </c>
    </row>
    <row r="163" spans="1:19" s="206" customFormat="1" x14ac:dyDescent="0.25">
      <c r="A163" s="147">
        <v>12</v>
      </c>
      <c r="B163" s="204">
        <f t="shared" si="45"/>
        <v>45261</v>
      </c>
      <c r="C163" s="202">
        <f t="shared" si="51"/>
        <v>45294</v>
      </c>
      <c r="D163" s="202">
        <f t="shared" si="51"/>
        <v>45315</v>
      </c>
      <c r="E163" s="211" t="s">
        <v>53</v>
      </c>
      <c r="F163" s="158">
        <v>9</v>
      </c>
      <c r="G163" s="184">
        <v>99</v>
      </c>
      <c r="H163" s="194">
        <f t="shared" si="46"/>
        <v>6.4194773820210456</v>
      </c>
      <c r="I163" s="194">
        <f t="shared" si="44"/>
        <v>4.0101906396130911</v>
      </c>
      <c r="J163" s="195">
        <f t="shared" si="47"/>
        <v>397.008873321696</v>
      </c>
      <c r="K163" s="196">
        <f t="shared" si="41"/>
        <v>635.52826082008346</v>
      </c>
      <c r="L163" s="197">
        <f t="shared" si="52"/>
        <v>-238.51938749838746</v>
      </c>
      <c r="M163" s="189">
        <f t="shared" si="48"/>
        <v>-19.553930881946933</v>
      </c>
      <c r="N163" s="190">
        <f t="shared" si="49"/>
        <v>-258.0733183803344</v>
      </c>
      <c r="O163" s="189">
        <v>0</v>
      </c>
      <c r="P163" s="189">
        <v>0</v>
      </c>
      <c r="Q163" s="189">
        <v>0</v>
      </c>
      <c r="R163" s="190">
        <f t="shared" si="50"/>
        <v>-258.0733183803344</v>
      </c>
    </row>
    <row r="164" spans="1:19" x14ac:dyDescent="0.25">
      <c r="A164" s="110">
        <v>1</v>
      </c>
      <c r="B164" s="182">
        <f t="shared" si="45"/>
        <v>44927</v>
      </c>
      <c r="C164" s="199">
        <f t="shared" si="51"/>
        <v>44960</v>
      </c>
      <c r="D164" s="199">
        <f t="shared" si="51"/>
        <v>44981</v>
      </c>
      <c r="E164" s="209" t="s">
        <v>54</v>
      </c>
      <c r="F164" s="110">
        <v>9</v>
      </c>
      <c r="G164" s="184">
        <v>7</v>
      </c>
      <c r="H164" s="185">
        <f t="shared" si="46"/>
        <v>6.4194773820210456</v>
      </c>
      <c r="I164" s="185">
        <f t="shared" si="44"/>
        <v>4.0101906396130911</v>
      </c>
      <c r="J164" s="186">
        <f t="shared" si="47"/>
        <v>28.071334477291636</v>
      </c>
      <c r="K164" s="187">
        <f t="shared" si="41"/>
        <v>44.936341674147322</v>
      </c>
      <c r="L164" s="188">
        <f t="shared" si="52"/>
        <v>-16.865007196855686</v>
      </c>
      <c r="M164" s="189">
        <f t="shared" si="48"/>
        <v>-1.3826011734709951</v>
      </c>
      <c r="N164" s="190">
        <f t="shared" si="49"/>
        <v>-18.247608370326681</v>
      </c>
      <c r="O164" s="189">
        <v>0</v>
      </c>
      <c r="P164" s="189">
        <v>0</v>
      </c>
      <c r="Q164" s="189">
        <v>0</v>
      </c>
      <c r="R164" s="190">
        <f t="shared" si="50"/>
        <v>-18.247608370326681</v>
      </c>
    </row>
    <row r="165" spans="1:19" x14ac:dyDescent="0.25">
      <c r="A165" s="147">
        <v>2</v>
      </c>
      <c r="B165" s="182">
        <f t="shared" si="45"/>
        <v>44958</v>
      </c>
      <c r="C165" s="202">
        <f t="shared" si="51"/>
        <v>44988</v>
      </c>
      <c r="D165" s="202">
        <f t="shared" si="51"/>
        <v>45009</v>
      </c>
      <c r="E165" s="210" t="s">
        <v>54</v>
      </c>
      <c r="F165" s="147">
        <v>9</v>
      </c>
      <c r="G165" s="184">
        <v>10</v>
      </c>
      <c r="H165" s="185">
        <f t="shared" si="46"/>
        <v>6.4194773820210456</v>
      </c>
      <c r="I165" s="185">
        <f t="shared" si="44"/>
        <v>4.0101906396130911</v>
      </c>
      <c r="J165" s="186">
        <f t="shared" si="47"/>
        <v>40.101906396130914</v>
      </c>
      <c r="K165" s="187">
        <f t="shared" si="41"/>
        <v>64.194773820210457</v>
      </c>
      <c r="L165" s="188">
        <f t="shared" si="52"/>
        <v>-24.092867424079543</v>
      </c>
      <c r="M165" s="189">
        <f t="shared" si="48"/>
        <v>-1.9751445335299931</v>
      </c>
      <c r="N165" s="190">
        <f t="shared" si="49"/>
        <v>-26.068011957609535</v>
      </c>
      <c r="O165" s="189">
        <v>0</v>
      </c>
      <c r="P165" s="189">
        <v>0</v>
      </c>
      <c r="Q165" s="189">
        <v>0</v>
      </c>
      <c r="R165" s="190">
        <f t="shared" si="50"/>
        <v>-26.068011957609535</v>
      </c>
    </row>
    <row r="166" spans="1:19" x14ac:dyDescent="0.25">
      <c r="A166" s="147">
        <v>3</v>
      </c>
      <c r="B166" s="182">
        <f t="shared" si="45"/>
        <v>44986</v>
      </c>
      <c r="C166" s="202">
        <f t="shared" si="51"/>
        <v>45021</v>
      </c>
      <c r="D166" s="202">
        <f t="shared" si="51"/>
        <v>45040</v>
      </c>
      <c r="E166" s="210" t="s">
        <v>54</v>
      </c>
      <c r="F166" s="147">
        <v>9</v>
      </c>
      <c r="G166" s="184">
        <v>8</v>
      </c>
      <c r="H166" s="185">
        <f t="shared" si="46"/>
        <v>6.4194773820210456</v>
      </c>
      <c r="I166" s="185">
        <f t="shared" si="44"/>
        <v>4.0101906396130911</v>
      </c>
      <c r="J166" s="186">
        <f t="shared" si="47"/>
        <v>32.081525116904729</v>
      </c>
      <c r="K166" s="187">
        <f t="shared" si="41"/>
        <v>51.355819056168365</v>
      </c>
      <c r="L166" s="188">
        <f>+J166-K166</f>
        <v>-19.274293939263636</v>
      </c>
      <c r="M166" s="189">
        <f t="shared" si="48"/>
        <v>-1.5801156268239944</v>
      </c>
      <c r="N166" s="190">
        <f t="shared" si="49"/>
        <v>-20.854409566087629</v>
      </c>
      <c r="O166" s="189">
        <v>0</v>
      </c>
      <c r="P166" s="189">
        <v>0</v>
      </c>
      <c r="Q166" s="189">
        <v>0</v>
      </c>
      <c r="R166" s="190">
        <f t="shared" si="50"/>
        <v>-20.854409566087629</v>
      </c>
    </row>
    <row r="167" spans="1:19" x14ac:dyDescent="0.25">
      <c r="A167" s="110">
        <v>4</v>
      </c>
      <c r="B167" s="182">
        <f t="shared" si="45"/>
        <v>45017</v>
      </c>
      <c r="C167" s="202">
        <f t="shared" si="51"/>
        <v>45049</v>
      </c>
      <c r="D167" s="202">
        <f t="shared" si="51"/>
        <v>45070</v>
      </c>
      <c r="E167" s="210" t="s">
        <v>54</v>
      </c>
      <c r="F167" s="147">
        <v>9</v>
      </c>
      <c r="G167" s="184">
        <v>8</v>
      </c>
      <c r="H167" s="185">
        <f t="shared" si="46"/>
        <v>6.4194773820210456</v>
      </c>
      <c r="I167" s="185">
        <f t="shared" si="44"/>
        <v>4.0101906396130911</v>
      </c>
      <c r="J167" s="186">
        <f t="shared" si="47"/>
        <v>32.081525116904729</v>
      </c>
      <c r="K167" s="187">
        <f t="shared" si="41"/>
        <v>51.355819056168365</v>
      </c>
      <c r="L167" s="188">
        <f t="shared" ref="L167:L177" si="53">+J167-K167</f>
        <v>-19.274293939263636</v>
      </c>
      <c r="M167" s="189">
        <f t="shared" si="48"/>
        <v>-1.5801156268239944</v>
      </c>
      <c r="N167" s="190">
        <f t="shared" si="49"/>
        <v>-20.854409566087629</v>
      </c>
      <c r="O167" s="189">
        <v>0</v>
      </c>
      <c r="P167" s="189">
        <v>0</v>
      </c>
      <c r="Q167" s="189">
        <v>0</v>
      </c>
      <c r="R167" s="190">
        <f t="shared" si="50"/>
        <v>-20.854409566087629</v>
      </c>
    </row>
    <row r="168" spans="1:19" x14ac:dyDescent="0.25">
      <c r="A168" s="147">
        <v>5</v>
      </c>
      <c r="B168" s="182">
        <f t="shared" si="45"/>
        <v>45047</v>
      </c>
      <c r="C168" s="202">
        <f t="shared" si="51"/>
        <v>45082</v>
      </c>
      <c r="D168" s="202">
        <f t="shared" si="51"/>
        <v>45103</v>
      </c>
      <c r="E168" s="210" t="s">
        <v>54</v>
      </c>
      <c r="F168" s="147">
        <v>9</v>
      </c>
      <c r="G168" s="184">
        <v>10</v>
      </c>
      <c r="H168" s="185">
        <f t="shared" si="46"/>
        <v>6.4194773820210456</v>
      </c>
      <c r="I168" s="185">
        <f t="shared" si="44"/>
        <v>4.0101906396130911</v>
      </c>
      <c r="J168" s="186">
        <f t="shared" si="47"/>
        <v>40.101906396130914</v>
      </c>
      <c r="K168" s="187">
        <f t="shared" si="41"/>
        <v>64.194773820210457</v>
      </c>
      <c r="L168" s="188">
        <f t="shared" si="53"/>
        <v>-24.092867424079543</v>
      </c>
      <c r="M168" s="189">
        <f t="shared" si="48"/>
        <v>-1.9751445335299931</v>
      </c>
      <c r="N168" s="190">
        <f t="shared" si="49"/>
        <v>-26.068011957609535</v>
      </c>
      <c r="O168" s="189">
        <v>0</v>
      </c>
      <c r="P168" s="189">
        <v>0</v>
      </c>
      <c r="Q168" s="189">
        <v>0</v>
      </c>
      <c r="R168" s="190">
        <f t="shared" si="50"/>
        <v>-26.068011957609535</v>
      </c>
    </row>
    <row r="169" spans="1:19" x14ac:dyDescent="0.25">
      <c r="A169" s="147">
        <v>6</v>
      </c>
      <c r="B169" s="182">
        <f t="shared" si="45"/>
        <v>45078</v>
      </c>
      <c r="C169" s="202">
        <f t="shared" si="51"/>
        <v>45112</v>
      </c>
      <c r="D169" s="202">
        <f t="shared" si="51"/>
        <v>45131</v>
      </c>
      <c r="E169" s="210" t="s">
        <v>54</v>
      </c>
      <c r="F169" s="147">
        <v>9</v>
      </c>
      <c r="G169" s="184">
        <v>12</v>
      </c>
      <c r="H169" s="185">
        <f t="shared" si="46"/>
        <v>6.4194773820210456</v>
      </c>
      <c r="I169" s="185">
        <f t="shared" si="44"/>
        <v>4.0101906396130911</v>
      </c>
      <c r="J169" s="186">
        <f t="shared" si="47"/>
        <v>48.122287675357093</v>
      </c>
      <c r="K169" s="187">
        <f t="shared" si="41"/>
        <v>77.033728584252543</v>
      </c>
      <c r="L169" s="192">
        <f t="shared" si="53"/>
        <v>-28.91144090889545</v>
      </c>
      <c r="M169" s="189">
        <f t="shared" si="48"/>
        <v>-2.3701734402359915</v>
      </c>
      <c r="N169" s="190">
        <f t="shared" si="49"/>
        <v>-31.281614349131441</v>
      </c>
      <c r="O169" s="189">
        <v>0</v>
      </c>
      <c r="P169" s="189">
        <v>0</v>
      </c>
      <c r="Q169" s="189">
        <v>0</v>
      </c>
      <c r="R169" s="190">
        <f t="shared" si="50"/>
        <v>-31.281614349131441</v>
      </c>
    </row>
    <row r="170" spans="1:19" x14ac:dyDescent="0.25">
      <c r="A170" s="110">
        <v>7</v>
      </c>
      <c r="B170" s="182">
        <f t="shared" si="45"/>
        <v>45108</v>
      </c>
      <c r="C170" s="202">
        <f t="shared" si="51"/>
        <v>45141</v>
      </c>
      <c r="D170" s="202">
        <f t="shared" si="51"/>
        <v>45162</v>
      </c>
      <c r="E170" s="210" t="s">
        <v>54</v>
      </c>
      <c r="F170" s="147">
        <v>9</v>
      </c>
      <c r="G170" s="184">
        <v>14</v>
      </c>
      <c r="H170" s="185">
        <f t="shared" si="46"/>
        <v>6.4194773820210456</v>
      </c>
      <c r="I170" s="185">
        <f t="shared" si="44"/>
        <v>4.0101906396130911</v>
      </c>
      <c r="J170" s="186">
        <f t="shared" si="47"/>
        <v>56.142668954583272</v>
      </c>
      <c r="K170" s="193">
        <f t="shared" si="41"/>
        <v>89.872683348294643</v>
      </c>
      <c r="L170" s="192">
        <f t="shared" si="53"/>
        <v>-33.730014393711372</v>
      </c>
      <c r="M170" s="189">
        <f t="shared" si="48"/>
        <v>-2.7652023469419902</v>
      </c>
      <c r="N170" s="190">
        <f t="shared" si="49"/>
        <v>-36.495216740653362</v>
      </c>
      <c r="O170" s="189">
        <v>0</v>
      </c>
      <c r="P170" s="189">
        <v>0</v>
      </c>
      <c r="Q170" s="189">
        <v>0</v>
      </c>
      <c r="R170" s="190">
        <f t="shared" si="50"/>
        <v>-36.495216740653362</v>
      </c>
    </row>
    <row r="171" spans="1:19" x14ac:dyDescent="0.25">
      <c r="A171" s="147">
        <v>8</v>
      </c>
      <c r="B171" s="182">
        <f t="shared" si="45"/>
        <v>45139</v>
      </c>
      <c r="C171" s="202">
        <f t="shared" si="51"/>
        <v>45174</v>
      </c>
      <c r="D171" s="202">
        <f t="shared" si="51"/>
        <v>45194</v>
      </c>
      <c r="E171" s="210" t="s">
        <v>54</v>
      </c>
      <c r="F171" s="110">
        <v>9</v>
      </c>
      <c r="G171" s="184">
        <v>13</v>
      </c>
      <c r="H171" s="185">
        <f t="shared" si="46"/>
        <v>6.4194773820210456</v>
      </c>
      <c r="I171" s="185">
        <f t="shared" si="44"/>
        <v>4.0101906396130911</v>
      </c>
      <c r="J171" s="186">
        <f t="shared" si="47"/>
        <v>52.132478314970186</v>
      </c>
      <c r="K171" s="193">
        <f t="shared" si="41"/>
        <v>83.453205966273586</v>
      </c>
      <c r="L171" s="192">
        <f t="shared" si="53"/>
        <v>-31.3207276513034</v>
      </c>
      <c r="M171" s="189">
        <f t="shared" si="48"/>
        <v>-2.5676878935889906</v>
      </c>
      <c r="N171" s="190">
        <f t="shared" si="49"/>
        <v>-33.888415544892389</v>
      </c>
      <c r="O171" s="189">
        <v>0</v>
      </c>
      <c r="P171" s="189">
        <v>0</v>
      </c>
      <c r="Q171" s="189">
        <v>0</v>
      </c>
      <c r="R171" s="190">
        <f t="shared" si="50"/>
        <v>-33.888415544892389</v>
      </c>
      <c r="S171" s="50"/>
    </row>
    <row r="172" spans="1:19" x14ac:dyDescent="0.25">
      <c r="A172" s="147">
        <v>9</v>
      </c>
      <c r="B172" s="182">
        <f t="shared" si="45"/>
        <v>45170</v>
      </c>
      <c r="C172" s="202">
        <f t="shared" ref="C172:D175" si="54">+C160</f>
        <v>45203</v>
      </c>
      <c r="D172" s="202">
        <f t="shared" si="54"/>
        <v>45223</v>
      </c>
      <c r="E172" s="210" t="s">
        <v>54</v>
      </c>
      <c r="F172" s="110">
        <v>9</v>
      </c>
      <c r="G172" s="184">
        <v>13</v>
      </c>
      <c r="H172" s="185">
        <f t="shared" si="46"/>
        <v>6.4194773820210456</v>
      </c>
      <c r="I172" s="185">
        <f t="shared" si="44"/>
        <v>4.0101906396130911</v>
      </c>
      <c r="J172" s="186">
        <f t="shared" si="47"/>
        <v>52.132478314970186</v>
      </c>
      <c r="K172" s="193">
        <f t="shared" si="41"/>
        <v>83.453205966273586</v>
      </c>
      <c r="L172" s="192">
        <f t="shared" si="53"/>
        <v>-31.3207276513034</v>
      </c>
      <c r="M172" s="189">
        <f t="shared" si="48"/>
        <v>-2.5676878935889906</v>
      </c>
      <c r="N172" s="190">
        <f t="shared" si="49"/>
        <v>-33.888415544892389</v>
      </c>
      <c r="O172" s="189">
        <v>0</v>
      </c>
      <c r="P172" s="189">
        <v>0</v>
      </c>
      <c r="Q172" s="189">
        <v>0</v>
      </c>
      <c r="R172" s="190">
        <f t="shared" si="50"/>
        <v>-33.888415544892389</v>
      </c>
    </row>
    <row r="173" spans="1:19" x14ac:dyDescent="0.25">
      <c r="A173" s="110">
        <v>10</v>
      </c>
      <c r="B173" s="182">
        <f t="shared" si="45"/>
        <v>45200</v>
      </c>
      <c r="C173" s="202">
        <f t="shared" si="54"/>
        <v>45233</v>
      </c>
      <c r="D173" s="202">
        <f t="shared" si="54"/>
        <v>45254</v>
      </c>
      <c r="E173" s="210" t="s">
        <v>54</v>
      </c>
      <c r="F173" s="110">
        <v>9</v>
      </c>
      <c r="G173" s="184">
        <v>11</v>
      </c>
      <c r="H173" s="185">
        <f t="shared" si="46"/>
        <v>6.4194773820210456</v>
      </c>
      <c r="I173" s="185">
        <f t="shared" si="44"/>
        <v>4.0101906396130911</v>
      </c>
      <c r="J173" s="186">
        <f t="shared" si="47"/>
        <v>44.112097035744</v>
      </c>
      <c r="K173" s="193">
        <f t="shared" si="41"/>
        <v>70.6142512022315</v>
      </c>
      <c r="L173" s="192">
        <f t="shared" si="53"/>
        <v>-26.5021541664875</v>
      </c>
      <c r="M173" s="189">
        <f t="shared" si="48"/>
        <v>-2.1726589868829924</v>
      </c>
      <c r="N173" s="190">
        <f t="shared" si="49"/>
        <v>-28.674813153370494</v>
      </c>
      <c r="O173" s="189">
        <v>0</v>
      </c>
      <c r="P173" s="189">
        <v>0</v>
      </c>
      <c r="Q173" s="189">
        <v>0</v>
      </c>
      <c r="R173" s="190">
        <f t="shared" si="50"/>
        <v>-28.674813153370494</v>
      </c>
    </row>
    <row r="174" spans="1:19" x14ac:dyDescent="0.25">
      <c r="A174" s="147">
        <v>11</v>
      </c>
      <c r="B174" s="182">
        <f t="shared" si="45"/>
        <v>45231</v>
      </c>
      <c r="C174" s="202">
        <f t="shared" si="54"/>
        <v>45266</v>
      </c>
      <c r="D174" s="202">
        <f t="shared" si="54"/>
        <v>45285</v>
      </c>
      <c r="E174" s="210" t="s">
        <v>54</v>
      </c>
      <c r="F174" s="110">
        <v>9</v>
      </c>
      <c r="G174" s="184">
        <v>7</v>
      </c>
      <c r="H174" s="185">
        <f t="shared" si="46"/>
        <v>6.4194773820210456</v>
      </c>
      <c r="I174" s="185">
        <f t="shared" si="44"/>
        <v>4.0101906396130911</v>
      </c>
      <c r="J174" s="186">
        <f t="shared" si="47"/>
        <v>28.071334477291636</v>
      </c>
      <c r="K174" s="193">
        <f t="shared" si="41"/>
        <v>44.936341674147322</v>
      </c>
      <c r="L174" s="192">
        <f t="shared" si="53"/>
        <v>-16.865007196855686</v>
      </c>
      <c r="M174" s="189">
        <f t="shared" si="48"/>
        <v>-1.3826011734709951</v>
      </c>
      <c r="N174" s="190">
        <f t="shared" si="49"/>
        <v>-18.247608370326681</v>
      </c>
      <c r="O174" s="189">
        <v>0</v>
      </c>
      <c r="P174" s="189">
        <v>0</v>
      </c>
      <c r="Q174" s="189">
        <v>0</v>
      </c>
      <c r="R174" s="190">
        <f t="shared" si="50"/>
        <v>-18.247608370326681</v>
      </c>
    </row>
    <row r="175" spans="1:19" s="206" customFormat="1" x14ac:dyDescent="0.25">
      <c r="A175" s="147">
        <v>12</v>
      </c>
      <c r="B175" s="204">
        <f t="shared" si="45"/>
        <v>45261</v>
      </c>
      <c r="C175" s="202">
        <f t="shared" si="54"/>
        <v>45294</v>
      </c>
      <c r="D175" s="202">
        <f t="shared" si="54"/>
        <v>45315</v>
      </c>
      <c r="E175" s="211" t="s">
        <v>54</v>
      </c>
      <c r="F175" s="158">
        <v>9</v>
      </c>
      <c r="G175" s="184">
        <v>8</v>
      </c>
      <c r="H175" s="194">
        <f t="shared" si="46"/>
        <v>6.4194773820210456</v>
      </c>
      <c r="I175" s="194">
        <f t="shared" si="44"/>
        <v>4.0101906396130911</v>
      </c>
      <c r="J175" s="195">
        <f t="shared" si="47"/>
        <v>32.081525116904729</v>
      </c>
      <c r="K175" s="196">
        <f t="shared" si="41"/>
        <v>51.355819056168365</v>
      </c>
      <c r="L175" s="197">
        <f t="shared" si="53"/>
        <v>-19.274293939263636</v>
      </c>
      <c r="M175" s="189">
        <f t="shared" si="48"/>
        <v>-1.5801156268239944</v>
      </c>
      <c r="N175" s="190">
        <f t="shared" si="49"/>
        <v>-20.854409566087629</v>
      </c>
      <c r="O175" s="189">
        <v>0</v>
      </c>
      <c r="P175" s="189">
        <v>0</v>
      </c>
      <c r="Q175" s="189">
        <v>0</v>
      </c>
      <c r="R175" s="190">
        <f t="shared" si="50"/>
        <v>-20.854409566087629</v>
      </c>
    </row>
    <row r="176" spans="1:19" x14ac:dyDescent="0.25">
      <c r="A176" s="110">
        <v>1</v>
      </c>
      <c r="B176" s="182">
        <f t="shared" si="45"/>
        <v>44927</v>
      </c>
      <c r="C176" s="199">
        <f t="shared" ref="C176:D187" si="55">+C152</f>
        <v>44960</v>
      </c>
      <c r="D176" s="199">
        <f t="shared" si="55"/>
        <v>44981</v>
      </c>
      <c r="E176" s="209" t="s">
        <v>55</v>
      </c>
      <c r="F176" s="147">
        <v>9</v>
      </c>
      <c r="G176" s="184">
        <v>21</v>
      </c>
      <c r="H176" s="185">
        <f t="shared" si="46"/>
        <v>6.4194773820210456</v>
      </c>
      <c r="I176" s="185">
        <f t="shared" si="44"/>
        <v>4.0101906396130911</v>
      </c>
      <c r="J176" s="186">
        <f t="shared" si="47"/>
        <v>84.214003431874914</v>
      </c>
      <c r="K176" s="187">
        <f t="shared" si="41"/>
        <v>134.80902502244194</v>
      </c>
      <c r="L176" s="188">
        <f t="shared" si="53"/>
        <v>-50.595021590567029</v>
      </c>
      <c r="M176" s="189">
        <f t="shared" si="48"/>
        <v>-4.1478035204129853</v>
      </c>
      <c r="N176" s="190">
        <f t="shared" si="49"/>
        <v>-54.742825110980014</v>
      </c>
      <c r="O176" s="189">
        <v>0</v>
      </c>
      <c r="P176" s="189">
        <v>0</v>
      </c>
      <c r="Q176" s="189">
        <v>0</v>
      </c>
      <c r="R176" s="190">
        <f t="shared" si="50"/>
        <v>-54.742825110980014</v>
      </c>
    </row>
    <row r="177" spans="1:18" x14ac:dyDescent="0.25">
      <c r="A177" s="147">
        <v>2</v>
      </c>
      <c r="B177" s="182">
        <f t="shared" si="45"/>
        <v>44958</v>
      </c>
      <c r="C177" s="202">
        <f t="shared" si="55"/>
        <v>44988</v>
      </c>
      <c r="D177" s="202">
        <f t="shared" si="55"/>
        <v>45009</v>
      </c>
      <c r="E177" s="52" t="s">
        <v>55</v>
      </c>
      <c r="F177" s="147">
        <v>9</v>
      </c>
      <c r="G177" s="184">
        <v>21</v>
      </c>
      <c r="H177" s="185">
        <f t="shared" si="46"/>
        <v>6.4194773820210456</v>
      </c>
      <c r="I177" s="185">
        <f t="shared" si="44"/>
        <v>4.0101906396130911</v>
      </c>
      <c r="J177" s="186">
        <f t="shared" si="47"/>
        <v>84.214003431874914</v>
      </c>
      <c r="K177" s="187">
        <f t="shared" si="41"/>
        <v>134.80902502244194</v>
      </c>
      <c r="L177" s="188">
        <f t="shared" si="53"/>
        <v>-50.595021590567029</v>
      </c>
      <c r="M177" s="189">
        <f t="shared" si="48"/>
        <v>-4.1478035204129853</v>
      </c>
      <c r="N177" s="190">
        <f t="shared" si="49"/>
        <v>-54.742825110980014</v>
      </c>
      <c r="O177" s="189">
        <v>0</v>
      </c>
      <c r="P177" s="189">
        <v>0</v>
      </c>
      <c r="Q177" s="189">
        <v>0</v>
      </c>
      <c r="R177" s="190">
        <f t="shared" si="50"/>
        <v>-54.742825110980014</v>
      </c>
    </row>
    <row r="178" spans="1:18" x14ac:dyDescent="0.25">
      <c r="A178" s="147">
        <v>3</v>
      </c>
      <c r="B178" s="182">
        <f t="shared" si="45"/>
        <v>44986</v>
      </c>
      <c r="C178" s="202">
        <f t="shared" si="55"/>
        <v>45021</v>
      </c>
      <c r="D178" s="202">
        <f t="shared" si="55"/>
        <v>45040</v>
      </c>
      <c r="E178" s="52" t="s">
        <v>55</v>
      </c>
      <c r="F178" s="147">
        <v>9</v>
      </c>
      <c r="G178" s="184">
        <v>19</v>
      </c>
      <c r="H178" s="185">
        <f t="shared" si="46"/>
        <v>6.4194773820210456</v>
      </c>
      <c r="I178" s="185">
        <f t="shared" si="44"/>
        <v>4.0101906396130911</v>
      </c>
      <c r="J178" s="186">
        <f t="shared" si="47"/>
        <v>76.193622152648729</v>
      </c>
      <c r="K178" s="187">
        <f t="shared" si="41"/>
        <v>121.97007025839987</v>
      </c>
      <c r="L178" s="188">
        <f>+J178-K178</f>
        <v>-45.776448105751143</v>
      </c>
      <c r="M178" s="189">
        <f t="shared" si="48"/>
        <v>-3.7527746137069871</v>
      </c>
      <c r="N178" s="190">
        <f t="shared" si="49"/>
        <v>-49.529222719458133</v>
      </c>
      <c r="O178" s="189">
        <v>0</v>
      </c>
      <c r="P178" s="189">
        <v>0</v>
      </c>
      <c r="Q178" s="189">
        <v>0</v>
      </c>
      <c r="R178" s="190">
        <f t="shared" si="50"/>
        <v>-49.529222719458133</v>
      </c>
    </row>
    <row r="179" spans="1:18" x14ac:dyDescent="0.25">
      <c r="A179" s="110">
        <v>4</v>
      </c>
      <c r="B179" s="182">
        <f t="shared" si="45"/>
        <v>45017</v>
      </c>
      <c r="C179" s="202">
        <f t="shared" si="55"/>
        <v>45049</v>
      </c>
      <c r="D179" s="202">
        <f t="shared" si="55"/>
        <v>45070</v>
      </c>
      <c r="E179" s="52" t="s">
        <v>55</v>
      </c>
      <c r="F179" s="147">
        <v>9</v>
      </c>
      <c r="G179" s="184">
        <v>21</v>
      </c>
      <c r="H179" s="185">
        <f t="shared" si="46"/>
        <v>6.4194773820210456</v>
      </c>
      <c r="I179" s="185">
        <f t="shared" si="44"/>
        <v>4.0101906396130911</v>
      </c>
      <c r="J179" s="186">
        <f t="shared" si="47"/>
        <v>84.214003431874914</v>
      </c>
      <c r="K179" s="187">
        <f t="shared" si="41"/>
        <v>134.80902502244194</v>
      </c>
      <c r="L179" s="188">
        <f t="shared" ref="L179:L189" si="56">+J179-K179</f>
        <v>-50.595021590567029</v>
      </c>
      <c r="M179" s="189">
        <f t="shared" si="48"/>
        <v>-4.1478035204129853</v>
      </c>
      <c r="N179" s="190">
        <f t="shared" si="49"/>
        <v>-54.742825110980014</v>
      </c>
      <c r="O179" s="189">
        <v>0</v>
      </c>
      <c r="P179" s="189">
        <v>0</v>
      </c>
      <c r="Q179" s="189">
        <v>0</v>
      </c>
      <c r="R179" s="190">
        <f t="shared" si="50"/>
        <v>-54.742825110980014</v>
      </c>
    </row>
    <row r="180" spans="1:18" x14ac:dyDescent="0.25">
      <c r="A180" s="147">
        <v>5</v>
      </c>
      <c r="B180" s="182">
        <f t="shared" si="45"/>
        <v>45047</v>
      </c>
      <c r="C180" s="202">
        <f t="shared" si="55"/>
        <v>45082</v>
      </c>
      <c r="D180" s="202">
        <f t="shared" si="55"/>
        <v>45103</v>
      </c>
      <c r="E180" s="52" t="s">
        <v>55</v>
      </c>
      <c r="F180" s="147">
        <v>9</v>
      </c>
      <c r="G180" s="184">
        <v>28</v>
      </c>
      <c r="H180" s="185">
        <f t="shared" si="46"/>
        <v>6.4194773820210456</v>
      </c>
      <c r="I180" s="185">
        <f t="shared" ref="I180:I211" si="57">$J$3</f>
        <v>4.0101906396130911</v>
      </c>
      <c r="J180" s="186">
        <f t="shared" si="47"/>
        <v>112.28533790916654</v>
      </c>
      <c r="K180" s="187">
        <f t="shared" si="41"/>
        <v>179.74536669658929</v>
      </c>
      <c r="L180" s="188">
        <f t="shared" si="56"/>
        <v>-67.460028787422743</v>
      </c>
      <c r="M180" s="189">
        <f t="shared" si="48"/>
        <v>-5.5304046938839804</v>
      </c>
      <c r="N180" s="190">
        <f t="shared" si="49"/>
        <v>-72.990433481306724</v>
      </c>
      <c r="O180" s="189">
        <v>0</v>
      </c>
      <c r="P180" s="189">
        <v>0</v>
      </c>
      <c r="Q180" s="189">
        <v>0</v>
      </c>
      <c r="R180" s="190">
        <f t="shared" si="50"/>
        <v>-72.990433481306724</v>
      </c>
    </row>
    <row r="181" spans="1:18" x14ac:dyDescent="0.25">
      <c r="A181" s="147">
        <v>6</v>
      </c>
      <c r="B181" s="182">
        <f t="shared" si="45"/>
        <v>45078</v>
      </c>
      <c r="C181" s="202">
        <f t="shared" si="55"/>
        <v>45112</v>
      </c>
      <c r="D181" s="202">
        <f t="shared" si="55"/>
        <v>45131</v>
      </c>
      <c r="E181" s="52" t="s">
        <v>55</v>
      </c>
      <c r="F181" s="147">
        <v>9</v>
      </c>
      <c r="G181" s="184">
        <v>37</v>
      </c>
      <c r="H181" s="185">
        <f t="shared" si="46"/>
        <v>6.4194773820210456</v>
      </c>
      <c r="I181" s="185">
        <f t="shared" si="57"/>
        <v>4.0101906396130911</v>
      </c>
      <c r="J181" s="186">
        <f t="shared" si="47"/>
        <v>148.37705366568437</v>
      </c>
      <c r="K181" s="187">
        <f t="shared" si="41"/>
        <v>237.52066313477869</v>
      </c>
      <c r="L181" s="192">
        <f t="shared" si="56"/>
        <v>-89.143609469094315</v>
      </c>
      <c r="M181" s="189">
        <f t="shared" si="48"/>
        <v>-7.3080347740609737</v>
      </c>
      <c r="N181" s="190">
        <f t="shared" si="49"/>
        <v>-96.451644243155286</v>
      </c>
      <c r="O181" s="189">
        <v>0</v>
      </c>
      <c r="P181" s="189">
        <v>0</v>
      </c>
      <c r="Q181" s="189">
        <v>0</v>
      </c>
      <c r="R181" s="190">
        <f t="shared" si="50"/>
        <v>-96.451644243155286</v>
      </c>
    </row>
    <row r="182" spans="1:18" x14ac:dyDescent="0.25">
      <c r="A182" s="110">
        <v>7</v>
      </c>
      <c r="B182" s="182">
        <f t="shared" si="45"/>
        <v>45108</v>
      </c>
      <c r="C182" s="202">
        <f t="shared" si="55"/>
        <v>45141</v>
      </c>
      <c r="D182" s="202">
        <f t="shared" si="55"/>
        <v>45162</v>
      </c>
      <c r="E182" s="52" t="s">
        <v>55</v>
      </c>
      <c r="F182" s="147">
        <v>9</v>
      </c>
      <c r="G182" s="184">
        <v>38</v>
      </c>
      <c r="H182" s="185">
        <f t="shared" si="46"/>
        <v>6.4194773820210456</v>
      </c>
      <c r="I182" s="185">
        <f t="shared" si="57"/>
        <v>4.0101906396130911</v>
      </c>
      <c r="J182" s="186">
        <f t="shared" si="47"/>
        <v>152.38724430529746</v>
      </c>
      <c r="K182" s="193">
        <f t="shared" si="41"/>
        <v>243.94014051679974</v>
      </c>
      <c r="L182" s="192">
        <f t="shared" si="56"/>
        <v>-91.552896211502286</v>
      </c>
      <c r="M182" s="189">
        <f t="shared" si="48"/>
        <v>-7.5055492274139741</v>
      </c>
      <c r="N182" s="190">
        <f t="shared" si="49"/>
        <v>-99.058445438916266</v>
      </c>
      <c r="O182" s="189">
        <v>0</v>
      </c>
      <c r="P182" s="189">
        <v>0</v>
      </c>
      <c r="Q182" s="189">
        <v>0</v>
      </c>
      <c r="R182" s="190">
        <f t="shared" si="50"/>
        <v>-99.058445438916266</v>
      </c>
    </row>
    <row r="183" spans="1:18" x14ac:dyDescent="0.25">
      <c r="A183" s="147">
        <v>8</v>
      </c>
      <c r="B183" s="182">
        <f t="shared" si="45"/>
        <v>45139</v>
      </c>
      <c r="C183" s="202">
        <f t="shared" si="55"/>
        <v>45174</v>
      </c>
      <c r="D183" s="202">
        <f t="shared" si="55"/>
        <v>45194</v>
      </c>
      <c r="E183" s="52" t="s">
        <v>55</v>
      </c>
      <c r="F183" s="147">
        <v>9</v>
      </c>
      <c r="G183" s="184">
        <v>40</v>
      </c>
      <c r="H183" s="185">
        <f t="shared" si="46"/>
        <v>6.4194773820210456</v>
      </c>
      <c r="I183" s="185">
        <f t="shared" si="57"/>
        <v>4.0101906396130911</v>
      </c>
      <c r="J183" s="186">
        <f t="shared" si="47"/>
        <v>160.40762558452366</v>
      </c>
      <c r="K183" s="193">
        <f t="shared" si="41"/>
        <v>256.77909528084183</v>
      </c>
      <c r="L183" s="192">
        <f t="shared" si="56"/>
        <v>-96.371469696318172</v>
      </c>
      <c r="M183" s="189">
        <f t="shared" si="48"/>
        <v>-7.9005781341199723</v>
      </c>
      <c r="N183" s="190">
        <f t="shared" si="49"/>
        <v>-104.27204783043814</v>
      </c>
      <c r="O183" s="189">
        <v>0</v>
      </c>
      <c r="P183" s="189">
        <v>0</v>
      </c>
      <c r="Q183" s="189">
        <v>0</v>
      </c>
      <c r="R183" s="190">
        <f t="shared" si="50"/>
        <v>-104.27204783043814</v>
      </c>
    </row>
    <row r="184" spans="1:18" x14ac:dyDescent="0.25">
      <c r="A184" s="147">
        <v>9</v>
      </c>
      <c r="B184" s="182">
        <f t="shared" si="45"/>
        <v>45170</v>
      </c>
      <c r="C184" s="202">
        <f t="shared" si="55"/>
        <v>45203</v>
      </c>
      <c r="D184" s="202">
        <f t="shared" si="55"/>
        <v>45223</v>
      </c>
      <c r="E184" s="52" t="s">
        <v>55</v>
      </c>
      <c r="F184" s="147">
        <v>9</v>
      </c>
      <c r="G184" s="184">
        <v>37</v>
      </c>
      <c r="H184" s="185">
        <f t="shared" si="46"/>
        <v>6.4194773820210456</v>
      </c>
      <c r="I184" s="185">
        <f t="shared" si="57"/>
        <v>4.0101906396130911</v>
      </c>
      <c r="J184" s="186">
        <f t="shared" si="47"/>
        <v>148.37705366568437</v>
      </c>
      <c r="K184" s="193">
        <f t="shared" si="41"/>
        <v>237.52066313477869</v>
      </c>
      <c r="L184" s="192">
        <f t="shared" si="56"/>
        <v>-89.143609469094315</v>
      </c>
      <c r="M184" s="189">
        <f t="shared" si="48"/>
        <v>-7.3080347740609737</v>
      </c>
      <c r="N184" s="190">
        <f t="shared" si="49"/>
        <v>-96.451644243155286</v>
      </c>
      <c r="O184" s="189">
        <v>0</v>
      </c>
      <c r="P184" s="189">
        <v>0</v>
      </c>
      <c r="Q184" s="189">
        <v>0</v>
      </c>
      <c r="R184" s="190">
        <f t="shared" si="50"/>
        <v>-96.451644243155286</v>
      </c>
    </row>
    <row r="185" spans="1:18" x14ac:dyDescent="0.25">
      <c r="A185" s="110">
        <v>10</v>
      </c>
      <c r="B185" s="182">
        <f t="shared" si="45"/>
        <v>45200</v>
      </c>
      <c r="C185" s="202">
        <f t="shared" si="55"/>
        <v>45233</v>
      </c>
      <c r="D185" s="202">
        <f t="shared" si="55"/>
        <v>45254</v>
      </c>
      <c r="E185" s="52" t="s">
        <v>55</v>
      </c>
      <c r="F185" s="147">
        <v>9</v>
      </c>
      <c r="G185" s="184">
        <v>30</v>
      </c>
      <c r="H185" s="185">
        <f t="shared" si="46"/>
        <v>6.4194773820210456</v>
      </c>
      <c r="I185" s="185">
        <f t="shared" si="57"/>
        <v>4.0101906396130911</v>
      </c>
      <c r="J185" s="186">
        <f t="shared" si="47"/>
        <v>120.30571918839273</v>
      </c>
      <c r="K185" s="193">
        <f t="shared" si="41"/>
        <v>192.58432146063137</v>
      </c>
      <c r="L185" s="192">
        <f t="shared" si="56"/>
        <v>-72.278602272238643</v>
      </c>
      <c r="M185" s="189">
        <f t="shared" si="48"/>
        <v>-5.9254336005899795</v>
      </c>
      <c r="N185" s="190">
        <f t="shared" si="49"/>
        <v>-78.204035872828626</v>
      </c>
      <c r="O185" s="189">
        <v>0</v>
      </c>
      <c r="P185" s="189">
        <v>0</v>
      </c>
      <c r="Q185" s="189">
        <v>0</v>
      </c>
      <c r="R185" s="190">
        <f t="shared" si="50"/>
        <v>-78.204035872828626</v>
      </c>
    </row>
    <row r="186" spans="1:18" x14ac:dyDescent="0.25">
      <c r="A186" s="147">
        <v>11</v>
      </c>
      <c r="B186" s="182">
        <f t="shared" si="45"/>
        <v>45231</v>
      </c>
      <c r="C186" s="202">
        <f t="shared" si="55"/>
        <v>45266</v>
      </c>
      <c r="D186" s="202">
        <f t="shared" si="55"/>
        <v>45285</v>
      </c>
      <c r="E186" s="52" t="s">
        <v>55</v>
      </c>
      <c r="F186" s="147">
        <v>9</v>
      </c>
      <c r="G186" s="184">
        <v>19</v>
      </c>
      <c r="H186" s="185">
        <f t="shared" si="46"/>
        <v>6.4194773820210456</v>
      </c>
      <c r="I186" s="185">
        <f t="shared" si="57"/>
        <v>4.0101906396130911</v>
      </c>
      <c r="J186" s="186">
        <f t="shared" si="47"/>
        <v>76.193622152648729</v>
      </c>
      <c r="K186" s="193">
        <f t="shared" si="41"/>
        <v>121.97007025839987</v>
      </c>
      <c r="L186" s="192">
        <f t="shared" si="56"/>
        <v>-45.776448105751143</v>
      </c>
      <c r="M186" s="189">
        <f t="shared" si="48"/>
        <v>-3.7527746137069871</v>
      </c>
      <c r="N186" s="190">
        <f t="shared" si="49"/>
        <v>-49.529222719458133</v>
      </c>
      <c r="O186" s="189">
        <v>0</v>
      </c>
      <c r="P186" s="189">
        <v>0</v>
      </c>
      <c r="Q186" s="189">
        <v>0</v>
      </c>
      <c r="R186" s="190">
        <f t="shared" si="50"/>
        <v>-49.529222719458133</v>
      </c>
    </row>
    <row r="187" spans="1:18" s="206" customFormat="1" x14ac:dyDescent="0.25">
      <c r="A187" s="147">
        <v>12</v>
      </c>
      <c r="B187" s="204">
        <f t="shared" si="45"/>
        <v>45261</v>
      </c>
      <c r="C187" s="202">
        <f t="shared" si="55"/>
        <v>45294</v>
      </c>
      <c r="D187" s="202">
        <f t="shared" si="55"/>
        <v>45315</v>
      </c>
      <c r="E187" s="205" t="s">
        <v>55</v>
      </c>
      <c r="F187" s="158">
        <v>9</v>
      </c>
      <c r="G187" s="184">
        <v>20</v>
      </c>
      <c r="H187" s="194">
        <f t="shared" si="46"/>
        <v>6.4194773820210456</v>
      </c>
      <c r="I187" s="194">
        <f t="shared" si="57"/>
        <v>4.0101906396130911</v>
      </c>
      <c r="J187" s="195">
        <f t="shared" si="47"/>
        <v>80.203812792261829</v>
      </c>
      <c r="K187" s="196">
        <f t="shared" si="41"/>
        <v>128.38954764042091</v>
      </c>
      <c r="L187" s="197">
        <f t="shared" si="56"/>
        <v>-48.185734848159086</v>
      </c>
      <c r="M187" s="189">
        <f t="shared" si="48"/>
        <v>-3.9502890670599862</v>
      </c>
      <c r="N187" s="190">
        <f t="shared" si="49"/>
        <v>-52.13602391521907</v>
      </c>
      <c r="O187" s="189">
        <v>0</v>
      </c>
      <c r="P187" s="189">
        <v>0</v>
      </c>
      <c r="Q187" s="189">
        <v>0</v>
      </c>
      <c r="R187" s="190">
        <f t="shared" si="50"/>
        <v>-52.13602391521907</v>
      </c>
    </row>
    <row r="188" spans="1:18" x14ac:dyDescent="0.25">
      <c r="A188" s="110">
        <v>1</v>
      </c>
      <c r="B188" s="182">
        <f t="shared" si="45"/>
        <v>44927</v>
      </c>
      <c r="C188" s="199">
        <f t="shared" ref="C188:D211" si="58">+C176</f>
        <v>44960</v>
      </c>
      <c r="D188" s="199">
        <f t="shared" si="58"/>
        <v>44981</v>
      </c>
      <c r="E188" s="183" t="s">
        <v>56</v>
      </c>
      <c r="F188" s="110">
        <v>9</v>
      </c>
      <c r="G188" s="184">
        <v>36</v>
      </c>
      <c r="H188" s="185">
        <f t="shared" si="46"/>
        <v>6.4194773820210456</v>
      </c>
      <c r="I188" s="185">
        <f t="shared" si="57"/>
        <v>4.0101906396130911</v>
      </c>
      <c r="J188" s="186">
        <f t="shared" si="47"/>
        <v>144.36686302607129</v>
      </c>
      <c r="K188" s="187">
        <f t="shared" si="41"/>
        <v>231.10118575275763</v>
      </c>
      <c r="L188" s="188">
        <f t="shared" si="56"/>
        <v>-86.734322726686344</v>
      </c>
      <c r="M188" s="189">
        <f t="shared" si="48"/>
        <v>-7.110520320707975</v>
      </c>
      <c r="N188" s="190">
        <f t="shared" si="49"/>
        <v>-93.84484304739432</v>
      </c>
      <c r="O188" s="189">
        <v>0</v>
      </c>
      <c r="P188" s="189">
        <v>0</v>
      </c>
      <c r="Q188" s="189">
        <v>0</v>
      </c>
      <c r="R188" s="190">
        <f t="shared" si="50"/>
        <v>-93.84484304739432</v>
      </c>
    </row>
    <row r="189" spans="1:18" x14ac:dyDescent="0.25">
      <c r="A189" s="147">
        <v>2</v>
      </c>
      <c r="B189" s="182">
        <f t="shared" si="45"/>
        <v>44958</v>
      </c>
      <c r="C189" s="202">
        <f t="shared" si="58"/>
        <v>44988</v>
      </c>
      <c r="D189" s="202">
        <f t="shared" si="58"/>
        <v>45009</v>
      </c>
      <c r="E189" s="191" t="s">
        <v>56</v>
      </c>
      <c r="F189" s="147">
        <v>9</v>
      </c>
      <c r="G189" s="184">
        <v>32</v>
      </c>
      <c r="H189" s="185">
        <f t="shared" si="46"/>
        <v>6.4194773820210456</v>
      </c>
      <c r="I189" s="185">
        <f t="shared" si="57"/>
        <v>4.0101906396130911</v>
      </c>
      <c r="J189" s="186">
        <f t="shared" si="47"/>
        <v>128.32610046761891</v>
      </c>
      <c r="K189" s="187">
        <f t="shared" si="41"/>
        <v>205.42327622467346</v>
      </c>
      <c r="L189" s="188">
        <f t="shared" si="56"/>
        <v>-77.097175757054544</v>
      </c>
      <c r="M189" s="189">
        <f t="shared" si="48"/>
        <v>-6.3204625072959777</v>
      </c>
      <c r="N189" s="190">
        <f t="shared" si="49"/>
        <v>-83.417638264350515</v>
      </c>
      <c r="O189" s="189">
        <v>0</v>
      </c>
      <c r="P189" s="189">
        <v>0</v>
      </c>
      <c r="Q189" s="189">
        <v>0</v>
      </c>
      <c r="R189" s="190">
        <f t="shared" si="50"/>
        <v>-83.417638264350515</v>
      </c>
    </row>
    <row r="190" spans="1:18" x14ac:dyDescent="0.25">
      <c r="A190" s="147">
        <v>3</v>
      </c>
      <c r="B190" s="182">
        <f t="shared" si="45"/>
        <v>44986</v>
      </c>
      <c r="C190" s="202">
        <f t="shared" si="58"/>
        <v>45021</v>
      </c>
      <c r="D190" s="202">
        <f t="shared" si="58"/>
        <v>45040</v>
      </c>
      <c r="E190" s="191" t="s">
        <v>56</v>
      </c>
      <c r="F190" s="147">
        <v>9</v>
      </c>
      <c r="G190" s="184">
        <v>32</v>
      </c>
      <c r="H190" s="185">
        <f t="shared" si="46"/>
        <v>6.4194773820210456</v>
      </c>
      <c r="I190" s="185">
        <f t="shared" si="57"/>
        <v>4.0101906396130911</v>
      </c>
      <c r="J190" s="186">
        <f t="shared" si="47"/>
        <v>128.32610046761891</v>
      </c>
      <c r="K190" s="187">
        <f t="shared" si="41"/>
        <v>205.42327622467346</v>
      </c>
      <c r="L190" s="188">
        <f>+J190-K190</f>
        <v>-77.097175757054544</v>
      </c>
      <c r="M190" s="189">
        <f t="shared" si="48"/>
        <v>-6.3204625072959777</v>
      </c>
      <c r="N190" s="190">
        <f t="shared" si="49"/>
        <v>-83.417638264350515</v>
      </c>
      <c r="O190" s="189">
        <v>0</v>
      </c>
      <c r="P190" s="189">
        <v>0</v>
      </c>
      <c r="Q190" s="189">
        <v>0</v>
      </c>
      <c r="R190" s="190">
        <f t="shared" si="50"/>
        <v>-83.417638264350515</v>
      </c>
    </row>
    <row r="191" spans="1:18" x14ac:dyDescent="0.25">
      <c r="A191" s="110">
        <v>4</v>
      </c>
      <c r="B191" s="182">
        <f t="shared" si="45"/>
        <v>45017</v>
      </c>
      <c r="C191" s="202">
        <f t="shared" si="58"/>
        <v>45049</v>
      </c>
      <c r="D191" s="202">
        <f t="shared" si="58"/>
        <v>45070</v>
      </c>
      <c r="E191" s="52" t="s">
        <v>56</v>
      </c>
      <c r="F191" s="147">
        <v>9</v>
      </c>
      <c r="G191" s="184">
        <v>31</v>
      </c>
      <c r="H191" s="185">
        <f t="shared" si="46"/>
        <v>6.4194773820210456</v>
      </c>
      <c r="I191" s="185">
        <f t="shared" si="57"/>
        <v>4.0101906396130911</v>
      </c>
      <c r="J191" s="186">
        <f t="shared" si="47"/>
        <v>124.31590982800583</v>
      </c>
      <c r="K191" s="187">
        <f t="shared" si="41"/>
        <v>199.0037988426524</v>
      </c>
      <c r="L191" s="188">
        <f t="shared" ref="L191:L201" si="59">+J191-K191</f>
        <v>-74.687889014646572</v>
      </c>
      <c r="M191" s="189">
        <f t="shared" si="48"/>
        <v>-6.1229480539429781</v>
      </c>
      <c r="N191" s="190">
        <f t="shared" si="49"/>
        <v>-80.810837068589549</v>
      </c>
      <c r="O191" s="189">
        <v>0</v>
      </c>
      <c r="P191" s="189">
        <v>0</v>
      </c>
      <c r="Q191" s="189">
        <v>0</v>
      </c>
      <c r="R191" s="190">
        <f t="shared" si="50"/>
        <v>-80.810837068589549</v>
      </c>
    </row>
    <row r="192" spans="1:18" x14ac:dyDescent="0.25">
      <c r="A192" s="147">
        <v>5</v>
      </c>
      <c r="B192" s="182">
        <f t="shared" si="45"/>
        <v>45047</v>
      </c>
      <c r="C192" s="202">
        <f t="shared" si="58"/>
        <v>45082</v>
      </c>
      <c r="D192" s="202">
        <f t="shared" si="58"/>
        <v>45103</v>
      </c>
      <c r="E192" s="52" t="s">
        <v>56</v>
      </c>
      <c r="F192" s="147">
        <v>9</v>
      </c>
      <c r="G192" s="184">
        <v>38</v>
      </c>
      <c r="H192" s="185">
        <f t="shared" si="46"/>
        <v>6.4194773820210456</v>
      </c>
      <c r="I192" s="185">
        <f t="shared" si="57"/>
        <v>4.0101906396130911</v>
      </c>
      <c r="J192" s="186">
        <f t="shared" si="47"/>
        <v>152.38724430529746</v>
      </c>
      <c r="K192" s="187">
        <f t="shared" si="41"/>
        <v>243.94014051679974</v>
      </c>
      <c r="L192" s="188">
        <f t="shared" si="59"/>
        <v>-91.552896211502286</v>
      </c>
      <c r="M192" s="189">
        <f t="shared" si="48"/>
        <v>-7.5055492274139741</v>
      </c>
      <c r="N192" s="190">
        <f t="shared" si="49"/>
        <v>-99.058445438916266</v>
      </c>
      <c r="O192" s="189">
        <v>0</v>
      </c>
      <c r="P192" s="189">
        <v>0</v>
      </c>
      <c r="Q192" s="189">
        <v>0</v>
      </c>
      <c r="R192" s="190">
        <f t="shared" si="50"/>
        <v>-99.058445438916266</v>
      </c>
    </row>
    <row r="193" spans="1:18" x14ac:dyDescent="0.25">
      <c r="A193" s="147">
        <v>6</v>
      </c>
      <c r="B193" s="182">
        <f t="shared" si="45"/>
        <v>45078</v>
      </c>
      <c r="C193" s="202">
        <f t="shared" si="58"/>
        <v>45112</v>
      </c>
      <c r="D193" s="202">
        <f t="shared" si="58"/>
        <v>45131</v>
      </c>
      <c r="E193" s="52" t="s">
        <v>56</v>
      </c>
      <c r="F193" s="147">
        <v>9</v>
      </c>
      <c r="G193" s="184">
        <v>48</v>
      </c>
      <c r="H193" s="185">
        <f t="shared" si="46"/>
        <v>6.4194773820210456</v>
      </c>
      <c r="I193" s="185">
        <f t="shared" si="57"/>
        <v>4.0101906396130911</v>
      </c>
      <c r="J193" s="186">
        <f t="shared" si="47"/>
        <v>192.48915070142837</v>
      </c>
      <c r="K193" s="187">
        <f t="shared" si="41"/>
        <v>308.13491433701017</v>
      </c>
      <c r="L193" s="192">
        <f t="shared" si="59"/>
        <v>-115.6457636355818</v>
      </c>
      <c r="M193" s="189">
        <f t="shared" si="48"/>
        <v>-9.4806937609439661</v>
      </c>
      <c r="N193" s="190">
        <f t="shared" si="49"/>
        <v>-125.12645739652577</v>
      </c>
      <c r="O193" s="189">
        <v>0</v>
      </c>
      <c r="P193" s="189">
        <v>0</v>
      </c>
      <c r="Q193" s="189">
        <v>0</v>
      </c>
      <c r="R193" s="190">
        <f t="shared" si="50"/>
        <v>-125.12645739652577</v>
      </c>
    </row>
    <row r="194" spans="1:18" x14ac:dyDescent="0.25">
      <c r="A194" s="110">
        <v>7</v>
      </c>
      <c r="B194" s="182">
        <f t="shared" si="45"/>
        <v>45108</v>
      </c>
      <c r="C194" s="202">
        <f t="shared" si="58"/>
        <v>45141</v>
      </c>
      <c r="D194" s="202">
        <f t="shared" si="58"/>
        <v>45162</v>
      </c>
      <c r="E194" s="52" t="s">
        <v>56</v>
      </c>
      <c r="F194" s="147">
        <v>9</v>
      </c>
      <c r="G194" s="184">
        <v>49</v>
      </c>
      <c r="H194" s="185">
        <f t="shared" si="46"/>
        <v>6.4194773820210456</v>
      </c>
      <c r="I194" s="185">
        <f t="shared" si="57"/>
        <v>4.0101906396130911</v>
      </c>
      <c r="J194" s="186">
        <f t="shared" si="47"/>
        <v>196.49934134104146</v>
      </c>
      <c r="K194" s="193">
        <f t="shared" si="41"/>
        <v>314.55439171903123</v>
      </c>
      <c r="L194" s="192">
        <f t="shared" si="59"/>
        <v>-118.05505037798977</v>
      </c>
      <c r="M194" s="189">
        <f t="shared" si="48"/>
        <v>-9.6782082142969657</v>
      </c>
      <c r="N194" s="190">
        <f t="shared" si="49"/>
        <v>-127.73325859228675</v>
      </c>
      <c r="O194" s="189">
        <v>0</v>
      </c>
      <c r="P194" s="189">
        <v>0</v>
      </c>
      <c r="Q194" s="189">
        <v>0</v>
      </c>
      <c r="R194" s="190">
        <f t="shared" si="50"/>
        <v>-127.73325859228675</v>
      </c>
    </row>
    <row r="195" spans="1:18" x14ac:dyDescent="0.25">
      <c r="A195" s="147">
        <v>8</v>
      </c>
      <c r="B195" s="182">
        <f t="shared" si="45"/>
        <v>45139</v>
      </c>
      <c r="C195" s="202">
        <f t="shared" si="58"/>
        <v>45174</v>
      </c>
      <c r="D195" s="202">
        <f t="shared" si="58"/>
        <v>45194</v>
      </c>
      <c r="E195" s="52" t="s">
        <v>56</v>
      </c>
      <c r="F195" s="147">
        <v>9</v>
      </c>
      <c r="G195" s="184">
        <v>50</v>
      </c>
      <c r="H195" s="185">
        <f t="shared" si="46"/>
        <v>6.4194773820210456</v>
      </c>
      <c r="I195" s="185">
        <f t="shared" si="57"/>
        <v>4.0101906396130911</v>
      </c>
      <c r="J195" s="186">
        <f t="shared" si="47"/>
        <v>200.50953198065454</v>
      </c>
      <c r="K195" s="193">
        <f t="shared" si="41"/>
        <v>320.97386910105229</v>
      </c>
      <c r="L195" s="192">
        <f t="shared" si="59"/>
        <v>-120.46433712039774</v>
      </c>
      <c r="M195" s="189">
        <f t="shared" si="48"/>
        <v>-9.8757226676499652</v>
      </c>
      <c r="N195" s="190">
        <f t="shared" si="49"/>
        <v>-130.34005978804771</v>
      </c>
      <c r="O195" s="189">
        <v>0</v>
      </c>
      <c r="P195" s="189">
        <v>0</v>
      </c>
      <c r="Q195" s="189">
        <v>0</v>
      </c>
      <c r="R195" s="190">
        <f t="shared" si="50"/>
        <v>-130.34005978804771</v>
      </c>
    </row>
    <row r="196" spans="1:18" x14ac:dyDescent="0.25">
      <c r="A196" s="147">
        <v>9</v>
      </c>
      <c r="B196" s="182">
        <f t="shared" si="45"/>
        <v>45170</v>
      </c>
      <c r="C196" s="202">
        <f t="shared" si="58"/>
        <v>45203</v>
      </c>
      <c r="D196" s="202">
        <f t="shared" si="58"/>
        <v>45223</v>
      </c>
      <c r="E196" s="52" t="s">
        <v>56</v>
      </c>
      <c r="F196" s="147">
        <v>9</v>
      </c>
      <c r="G196" s="184">
        <v>47</v>
      </c>
      <c r="H196" s="185">
        <f t="shared" si="46"/>
        <v>6.4194773820210456</v>
      </c>
      <c r="I196" s="185">
        <f t="shared" si="57"/>
        <v>4.0101906396130911</v>
      </c>
      <c r="J196" s="186">
        <f t="shared" si="47"/>
        <v>188.47896006181529</v>
      </c>
      <c r="K196" s="193">
        <f t="shared" si="41"/>
        <v>301.71543695498912</v>
      </c>
      <c r="L196" s="192">
        <f t="shared" si="59"/>
        <v>-113.23647689317383</v>
      </c>
      <c r="M196" s="189">
        <f t="shared" si="48"/>
        <v>-9.2831793075909665</v>
      </c>
      <c r="N196" s="190">
        <f t="shared" si="49"/>
        <v>-122.5196562007648</v>
      </c>
      <c r="O196" s="189">
        <v>0</v>
      </c>
      <c r="P196" s="189">
        <v>0</v>
      </c>
      <c r="Q196" s="189">
        <v>0</v>
      </c>
      <c r="R196" s="190">
        <f t="shared" si="50"/>
        <v>-122.5196562007648</v>
      </c>
    </row>
    <row r="197" spans="1:18" x14ac:dyDescent="0.25">
      <c r="A197" s="110">
        <v>10</v>
      </c>
      <c r="B197" s="182">
        <f t="shared" si="45"/>
        <v>45200</v>
      </c>
      <c r="C197" s="202">
        <f t="shared" si="58"/>
        <v>45233</v>
      </c>
      <c r="D197" s="202">
        <f t="shared" si="58"/>
        <v>45254</v>
      </c>
      <c r="E197" s="52" t="s">
        <v>56</v>
      </c>
      <c r="F197" s="147">
        <v>9</v>
      </c>
      <c r="G197" s="184">
        <v>36</v>
      </c>
      <c r="H197" s="185">
        <f t="shared" si="46"/>
        <v>6.4194773820210456</v>
      </c>
      <c r="I197" s="185">
        <f t="shared" si="57"/>
        <v>4.0101906396130911</v>
      </c>
      <c r="J197" s="186">
        <f t="shared" si="47"/>
        <v>144.36686302607129</v>
      </c>
      <c r="K197" s="193">
        <f t="shared" si="41"/>
        <v>231.10118575275763</v>
      </c>
      <c r="L197" s="192">
        <f t="shared" si="59"/>
        <v>-86.734322726686344</v>
      </c>
      <c r="M197" s="189">
        <f t="shared" si="48"/>
        <v>-7.110520320707975</v>
      </c>
      <c r="N197" s="190">
        <f t="shared" si="49"/>
        <v>-93.84484304739432</v>
      </c>
      <c r="O197" s="189">
        <v>0</v>
      </c>
      <c r="P197" s="189">
        <v>0</v>
      </c>
      <c r="Q197" s="189">
        <v>0</v>
      </c>
      <c r="R197" s="190">
        <f t="shared" si="50"/>
        <v>-93.84484304739432</v>
      </c>
    </row>
    <row r="198" spans="1:18" x14ac:dyDescent="0.25">
      <c r="A198" s="147">
        <v>11</v>
      </c>
      <c r="B198" s="182">
        <f t="shared" si="45"/>
        <v>45231</v>
      </c>
      <c r="C198" s="202">
        <f t="shared" si="58"/>
        <v>45266</v>
      </c>
      <c r="D198" s="202">
        <f t="shared" si="58"/>
        <v>45285</v>
      </c>
      <c r="E198" s="52" t="s">
        <v>56</v>
      </c>
      <c r="F198" s="147">
        <v>9</v>
      </c>
      <c r="G198" s="184">
        <v>26</v>
      </c>
      <c r="H198" s="185">
        <f t="shared" si="46"/>
        <v>6.4194773820210456</v>
      </c>
      <c r="I198" s="185">
        <f t="shared" si="57"/>
        <v>4.0101906396130911</v>
      </c>
      <c r="J198" s="186">
        <f t="shared" si="47"/>
        <v>104.26495662994037</v>
      </c>
      <c r="K198" s="193">
        <f t="shared" ref="K198:K209" si="60">+$G198*H198</f>
        <v>166.90641193254717</v>
      </c>
      <c r="L198" s="192">
        <f t="shared" si="59"/>
        <v>-62.641455302606801</v>
      </c>
      <c r="M198" s="189">
        <f t="shared" si="48"/>
        <v>-5.1353757871779813</v>
      </c>
      <c r="N198" s="190">
        <f t="shared" si="49"/>
        <v>-67.776831089784778</v>
      </c>
      <c r="O198" s="189">
        <v>0</v>
      </c>
      <c r="P198" s="189">
        <v>0</v>
      </c>
      <c r="Q198" s="189">
        <v>0</v>
      </c>
      <c r="R198" s="190">
        <f t="shared" si="50"/>
        <v>-67.776831089784778</v>
      </c>
    </row>
    <row r="199" spans="1:18" s="206" customFormat="1" x14ac:dyDescent="0.25">
      <c r="A199" s="147">
        <v>12</v>
      </c>
      <c r="B199" s="204">
        <f t="shared" si="45"/>
        <v>45261</v>
      </c>
      <c r="C199" s="202">
        <f t="shared" si="58"/>
        <v>45294</v>
      </c>
      <c r="D199" s="202">
        <f t="shared" si="58"/>
        <v>45315</v>
      </c>
      <c r="E199" s="205" t="s">
        <v>56</v>
      </c>
      <c r="F199" s="158">
        <v>9</v>
      </c>
      <c r="G199" s="184">
        <v>31</v>
      </c>
      <c r="H199" s="194">
        <f t="shared" si="46"/>
        <v>6.4194773820210456</v>
      </c>
      <c r="I199" s="194">
        <f t="shared" si="57"/>
        <v>4.0101906396130911</v>
      </c>
      <c r="J199" s="195">
        <f t="shared" si="47"/>
        <v>124.31590982800583</v>
      </c>
      <c r="K199" s="196">
        <f t="shared" si="60"/>
        <v>199.0037988426524</v>
      </c>
      <c r="L199" s="197">
        <f t="shared" si="59"/>
        <v>-74.687889014646572</v>
      </c>
      <c r="M199" s="189">
        <f t="shared" si="48"/>
        <v>-6.1229480539429781</v>
      </c>
      <c r="N199" s="190">
        <f t="shared" si="49"/>
        <v>-80.810837068589549</v>
      </c>
      <c r="O199" s="189">
        <v>0</v>
      </c>
      <c r="P199" s="189">
        <v>0</v>
      </c>
      <c r="Q199" s="189">
        <v>0</v>
      </c>
      <c r="R199" s="190">
        <f t="shared" si="50"/>
        <v>-80.810837068589549</v>
      </c>
    </row>
    <row r="200" spans="1:18" x14ac:dyDescent="0.25">
      <c r="A200" s="110">
        <v>1</v>
      </c>
      <c r="B200" s="182">
        <f t="shared" si="45"/>
        <v>44927</v>
      </c>
      <c r="C200" s="199">
        <f t="shared" si="58"/>
        <v>44960</v>
      </c>
      <c r="D200" s="199">
        <f t="shared" si="58"/>
        <v>44981</v>
      </c>
      <c r="E200" s="183" t="s">
        <v>17</v>
      </c>
      <c r="F200" s="110">
        <v>9</v>
      </c>
      <c r="G200" s="184">
        <v>104</v>
      </c>
      <c r="H200" s="185">
        <f t="shared" si="46"/>
        <v>6.4194773820210456</v>
      </c>
      <c r="I200" s="185">
        <f t="shared" si="57"/>
        <v>4.0101906396130911</v>
      </c>
      <c r="J200" s="186">
        <f t="shared" si="47"/>
        <v>417.05982651976149</v>
      </c>
      <c r="K200" s="187">
        <f t="shared" si="60"/>
        <v>667.62564773018869</v>
      </c>
      <c r="L200" s="188">
        <f t="shared" si="59"/>
        <v>-250.5658212104272</v>
      </c>
      <c r="M200" s="189">
        <f t="shared" si="48"/>
        <v>-20.541503148711925</v>
      </c>
      <c r="N200" s="190">
        <f t="shared" si="49"/>
        <v>-271.10732435913911</v>
      </c>
      <c r="O200" s="189">
        <v>0</v>
      </c>
      <c r="P200" s="189">
        <v>0</v>
      </c>
      <c r="Q200" s="189">
        <v>0</v>
      </c>
      <c r="R200" s="190">
        <f t="shared" si="50"/>
        <v>-271.10732435913911</v>
      </c>
    </row>
    <row r="201" spans="1:18" x14ac:dyDescent="0.25">
      <c r="A201" s="147">
        <v>2</v>
      </c>
      <c r="B201" s="182">
        <f t="shared" si="45"/>
        <v>44958</v>
      </c>
      <c r="C201" s="202">
        <f t="shared" si="58"/>
        <v>44988</v>
      </c>
      <c r="D201" s="202">
        <f t="shared" si="58"/>
        <v>45009</v>
      </c>
      <c r="E201" s="191" t="s">
        <v>17</v>
      </c>
      <c r="F201" s="147">
        <v>9</v>
      </c>
      <c r="G201" s="184">
        <v>107</v>
      </c>
      <c r="H201" s="185">
        <f t="shared" si="46"/>
        <v>6.4194773820210456</v>
      </c>
      <c r="I201" s="185">
        <f t="shared" si="57"/>
        <v>4.0101906396130911</v>
      </c>
      <c r="J201" s="186">
        <f t="shared" si="47"/>
        <v>429.09039843860074</v>
      </c>
      <c r="K201" s="187">
        <f t="shared" si="60"/>
        <v>686.88407987625192</v>
      </c>
      <c r="L201" s="188">
        <f t="shared" si="59"/>
        <v>-257.79368143765117</v>
      </c>
      <c r="M201" s="189">
        <f t="shared" si="48"/>
        <v>-21.134046508770925</v>
      </c>
      <c r="N201" s="190">
        <f t="shared" si="49"/>
        <v>-278.92772794642212</v>
      </c>
      <c r="O201" s="189">
        <v>0</v>
      </c>
      <c r="P201" s="189">
        <v>0</v>
      </c>
      <c r="Q201" s="189">
        <v>0</v>
      </c>
      <c r="R201" s="190">
        <f t="shared" si="50"/>
        <v>-278.92772794642212</v>
      </c>
    </row>
    <row r="202" spans="1:18" x14ac:dyDescent="0.25">
      <c r="A202" s="147">
        <v>3</v>
      </c>
      <c r="B202" s="182">
        <f t="shared" si="45"/>
        <v>44986</v>
      </c>
      <c r="C202" s="202">
        <f t="shared" si="58"/>
        <v>45021</v>
      </c>
      <c r="D202" s="202">
        <f t="shared" si="58"/>
        <v>45040</v>
      </c>
      <c r="E202" s="191" t="s">
        <v>17</v>
      </c>
      <c r="F202" s="147">
        <v>9</v>
      </c>
      <c r="G202" s="184">
        <v>103</v>
      </c>
      <c r="H202" s="185">
        <f t="shared" si="46"/>
        <v>6.4194773820210456</v>
      </c>
      <c r="I202" s="185">
        <f t="shared" si="57"/>
        <v>4.0101906396130911</v>
      </c>
      <c r="J202" s="186">
        <f t="shared" si="47"/>
        <v>413.0496358801484</v>
      </c>
      <c r="K202" s="187">
        <f t="shared" si="60"/>
        <v>661.20617034816769</v>
      </c>
      <c r="L202" s="188">
        <f>+J202-K202</f>
        <v>-248.15653446801929</v>
      </c>
      <c r="M202" s="189">
        <f t="shared" si="48"/>
        <v>-20.343988695358927</v>
      </c>
      <c r="N202" s="190">
        <f t="shared" si="49"/>
        <v>-268.5005231633782</v>
      </c>
      <c r="O202" s="189">
        <v>0</v>
      </c>
      <c r="P202" s="189">
        <v>0</v>
      </c>
      <c r="Q202" s="189">
        <v>0</v>
      </c>
      <c r="R202" s="190">
        <f t="shared" si="50"/>
        <v>-268.5005231633782</v>
      </c>
    </row>
    <row r="203" spans="1:18" x14ac:dyDescent="0.25">
      <c r="A203" s="110">
        <v>4</v>
      </c>
      <c r="B203" s="182">
        <f t="shared" si="45"/>
        <v>45017</v>
      </c>
      <c r="C203" s="202">
        <f t="shared" si="58"/>
        <v>45049</v>
      </c>
      <c r="D203" s="202">
        <f t="shared" si="58"/>
        <v>45070</v>
      </c>
      <c r="E203" s="191" t="s">
        <v>17</v>
      </c>
      <c r="F203" s="147">
        <v>9</v>
      </c>
      <c r="G203" s="184">
        <v>98</v>
      </c>
      <c r="H203" s="185">
        <f t="shared" si="46"/>
        <v>6.4194773820210456</v>
      </c>
      <c r="I203" s="185">
        <f t="shared" si="57"/>
        <v>4.0101906396130911</v>
      </c>
      <c r="J203" s="186">
        <f t="shared" si="47"/>
        <v>392.99868268208292</v>
      </c>
      <c r="K203" s="187">
        <f t="shared" si="60"/>
        <v>629.10878343806246</v>
      </c>
      <c r="L203" s="188">
        <f t="shared" ref="L203:L211" si="61">+J203-K203</f>
        <v>-236.11010075597954</v>
      </c>
      <c r="M203" s="189">
        <f t="shared" si="48"/>
        <v>-19.356416428593931</v>
      </c>
      <c r="N203" s="190">
        <f t="shared" si="49"/>
        <v>-255.46651718457349</v>
      </c>
      <c r="O203" s="189">
        <v>0</v>
      </c>
      <c r="P203" s="189">
        <v>0</v>
      </c>
      <c r="Q203" s="189">
        <v>0</v>
      </c>
      <c r="R203" s="190">
        <f t="shared" si="50"/>
        <v>-255.46651718457349</v>
      </c>
    </row>
    <row r="204" spans="1:18" x14ac:dyDescent="0.25">
      <c r="A204" s="147">
        <v>5</v>
      </c>
      <c r="B204" s="182">
        <f t="shared" si="45"/>
        <v>45047</v>
      </c>
      <c r="C204" s="202">
        <f t="shared" si="58"/>
        <v>45082</v>
      </c>
      <c r="D204" s="202">
        <f t="shared" si="58"/>
        <v>45103</v>
      </c>
      <c r="E204" s="52" t="s">
        <v>17</v>
      </c>
      <c r="F204" s="147">
        <v>9</v>
      </c>
      <c r="G204" s="184">
        <v>105</v>
      </c>
      <c r="H204" s="185">
        <f t="shared" si="46"/>
        <v>6.4194773820210456</v>
      </c>
      <c r="I204" s="185">
        <f t="shared" si="57"/>
        <v>4.0101906396130911</v>
      </c>
      <c r="J204" s="186">
        <f t="shared" si="47"/>
        <v>421.07001715937457</v>
      </c>
      <c r="K204" s="187">
        <f t="shared" si="60"/>
        <v>674.0451251122098</v>
      </c>
      <c r="L204" s="188">
        <f t="shared" si="61"/>
        <v>-252.97510795283523</v>
      </c>
      <c r="M204" s="189">
        <f t="shared" si="48"/>
        <v>-20.739017602064926</v>
      </c>
      <c r="N204" s="190">
        <f t="shared" si="49"/>
        <v>-273.71412555490014</v>
      </c>
      <c r="O204" s="189">
        <v>0</v>
      </c>
      <c r="P204" s="189">
        <v>0</v>
      </c>
      <c r="Q204" s="189">
        <v>0</v>
      </c>
      <c r="R204" s="190">
        <f t="shared" si="50"/>
        <v>-273.71412555490014</v>
      </c>
    </row>
    <row r="205" spans="1:18" x14ac:dyDescent="0.25">
      <c r="A205" s="147">
        <v>6</v>
      </c>
      <c r="B205" s="182">
        <f t="shared" si="45"/>
        <v>45078</v>
      </c>
      <c r="C205" s="202">
        <f t="shared" si="58"/>
        <v>45112</v>
      </c>
      <c r="D205" s="202">
        <f t="shared" si="58"/>
        <v>45131</v>
      </c>
      <c r="E205" s="52" t="s">
        <v>17</v>
      </c>
      <c r="F205" s="147">
        <v>9</v>
      </c>
      <c r="G205" s="184">
        <v>115</v>
      </c>
      <c r="H205" s="185">
        <f t="shared" si="46"/>
        <v>6.4194773820210456</v>
      </c>
      <c r="I205" s="185">
        <f t="shared" si="57"/>
        <v>4.0101906396130911</v>
      </c>
      <c r="J205" s="186">
        <f t="shared" si="47"/>
        <v>461.17192355550549</v>
      </c>
      <c r="K205" s="187">
        <f t="shared" si="60"/>
        <v>738.23989893242026</v>
      </c>
      <c r="L205" s="192">
        <f t="shared" si="61"/>
        <v>-277.06797537691477</v>
      </c>
      <c r="M205" s="189">
        <f t="shared" si="48"/>
        <v>-22.714162135594918</v>
      </c>
      <c r="N205" s="190">
        <f t="shared" si="49"/>
        <v>-299.78213751250968</v>
      </c>
      <c r="O205" s="189">
        <v>0</v>
      </c>
      <c r="P205" s="189">
        <v>0</v>
      </c>
      <c r="Q205" s="189">
        <v>0</v>
      </c>
      <c r="R205" s="190">
        <f t="shared" si="50"/>
        <v>-299.78213751250968</v>
      </c>
    </row>
    <row r="206" spans="1:18" x14ac:dyDescent="0.25">
      <c r="A206" s="110">
        <v>7</v>
      </c>
      <c r="B206" s="182">
        <f t="shared" si="45"/>
        <v>45108</v>
      </c>
      <c r="C206" s="202">
        <f t="shared" si="58"/>
        <v>45141</v>
      </c>
      <c r="D206" s="202">
        <f t="shared" si="58"/>
        <v>45162</v>
      </c>
      <c r="E206" s="52" t="s">
        <v>17</v>
      </c>
      <c r="F206" s="147">
        <v>9</v>
      </c>
      <c r="G206" s="184">
        <v>110</v>
      </c>
      <c r="H206" s="185">
        <f t="shared" si="46"/>
        <v>6.4194773820210456</v>
      </c>
      <c r="I206" s="185">
        <f t="shared" si="57"/>
        <v>4.0101906396130911</v>
      </c>
      <c r="J206" s="186">
        <f t="shared" si="47"/>
        <v>441.12097035744</v>
      </c>
      <c r="K206" s="193">
        <f t="shared" si="60"/>
        <v>706.14251202231503</v>
      </c>
      <c r="L206" s="192">
        <f t="shared" si="61"/>
        <v>-265.02154166487503</v>
      </c>
      <c r="M206" s="189">
        <f t="shared" si="48"/>
        <v>-21.726589868829926</v>
      </c>
      <c r="N206" s="190">
        <f t="shared" si="49"/>
        <v>-286.74813153370496</v>
      </c>
      <c r="O206" s="189">
        <v>0</v>
      </c>
      <c r="P206" s="189">
        <v>0</v>
      </c>
      <c r="Q206" s="189">
        <v>0</v>
      </c>
      <c r="R206" s="190">
        <f t="shared" si="50"/>
        <v>-286.74813153370496</v>
      </c>
    </row>
    <row r="207" spans="1:18" x14ac:dyDescent="0.25">
      <c r="A207" s="147">
        <v>8</v>
      </c>
      <c r="B207" s="182">
        <f t="shared" si="45"/>
        <v>45139</v>
      </c>
      <c r="C207" s="202">
        <f t="shared" si="58"/>
        <v>45174</v>
      </c>
      <c r="D207" s="202">
        <f t="shared" si="58"/>
        <v>45194</v>
      </c>
      <c r="E207" s="52" t="s">
        <v>17</v>
      </c>
      <c r="F207" s="147">
        <v>9</v>
      </c>
      <c r="G207" s="184">
        <v>109</v>
      </c>
      <c r="H207" s="185">
        <f t="shared" si="46"/>
        <v>6.4194773820210456</v>
      </c>
      <c r="I207" s="185">
        <f t="shared" si="57"/>
        <v>4.0101906396130911</v>
      </c>
      <c r="J207" s="186">
        <f t="shared" si="47"/>
        <v>437.11077971782692</v>
      </c>
      <c r="K207" s="193">
        <f t="shared" si="60"/>
        <v>699.72303464029392</v>
      </c>
      <c r="L207" s="192">
        <f t="shared" si="61"/>
        <v>-262.612254922467</v>
      </c>
      <c r="M207" s="189">
        <f t="shared" si="48"/>
        <v>-21.529075415476925</v>
      </c>
      <c r="N207" s="190">
        <f t="shared" si="49"/>
        <v>-284.14133033794394</v>
      </c>
      <c r="O207" s="189">
        <v>0</v>
      </c>
      <c r="P207" s="189">
        <v>0</v>
      </c>
      <c r="Q207" s="189">
        <v>0</v>
      </c>
      <c r="R207" s="190">
        <f t="shared" si="50"/>
        <v>-284.14133033794394</v>
      </c>
    </row>
    <row r="208" spans="1:18" x14ac:dyDescent="0.25">
      <c r="A208" s="147">
        <v>9</v>
      </c>
      <c r="B208" s="182">
        <f t="shared" si="45"/>
        <v>45170</v>
      </c>
      <c r="C208" s="202">
        <f t="shared" si="58"/>
        <v>45203</v>
      </c>
      <c r="D208" s="202">
        <f t="shared" si="58"/>
        <v>45223</v>
      </c>
      <c r="E208" s="52" t="s">
        <v>17</v>
      </c>
      <c r="F208" s="147">
        <v>9</v>
      </c>
      <c r="G208" s="184">
        <v>112</v>
      </c>
      <c r="H208" s="185">
        <f t="shared" si="46"/>
        <v>6.4194773820210456</v>
      </c>
      <c r="I208" s="185">
        <f t="shared" si="57"/>
        <v>4.0101906396130911</v>
      </c>
      <c r="J208" s="186">
        <f t="shared" si="47"/>
        <v>449.14135163666617</v>
      </c>
      <c r="K208" s="193">
        <f t="shared" si="60"/>
        <v>718.98146678635715</v>
      </c>
      <c r="L208" s="192">
        <f t="shared" si="61"/>
        <v>-269.84011514969097</v>
      </c>
      <c r="M208" s="189">
        <f t="shared" si="48"/>
        <v>-22.121618775535921</v>
      </c>
      <c r="N208" s="190">
        <f t="shared" si="49"/>
        <v>-291.96173392522689</v>
      </c>
      <c r="O208" s="189">
        <v>0</v>
      </c>
      <c r="P208" s="189">
        <v>0</v>
      </c>
      <c r="Q208" s="189">
        <v>0</v>
      </c>
      <c r="R208" s="190">
        <f t="shared" si="50"/>
        <v>-291.96173392522689</v>
      </c>
    </row>
    <row r="209" spans="1:18" x14ac:dyDescent="0.25">
      <c r="A209" s="110">
        <v>10</v>
      </c>
      <c r="B209" s="182">
        <f t="shared" si="45"/>
        <v>45200</v>
      </c>
      <c r="C209" s="202">
        <f t="shared" si="58"/>
        <v>45233</v>
      </c>
      <c r="D209" s="202">
        <f t="shared" si="58"/>
        <v>45254</v>
      </c>
      <c r="E209" s="52" t="s">
        <v>17</v>
      </c>
      <c r="F209" s="147">
        <v>9</v>
      </c>
      <c r="G209" s="184">
        <v>107</v>
      </c>
      <c r="H209" s="185">
        <f t="shared" si="46"/>
        <v>6.4194773820210456</v>
      </c>
      <c r="I209" s="185">
        <f t="shared" si="57"/>
        <v>4.0101906396130911</v>
      </c>
      <c r="J209" s="186">
        <f t="shared" si="47"/>
        <v>429.09039843860074</v>
      </c>
      <c r="K209" s="193">
        <f t="shared" si="60"/>
        <v>686.88407987625192</v>
      </c>
      <c r="L209" s="192">
        <f t="shared" si="61"/>
        <v>-257.79368143765117</v>
      </c>
      <c r="M209" s="189">
        <f t="shared" si="48"/>
        <v>-21.134046508770925</v>
      </c>
      <c r="N209" s="190">
        <f t="shared" si="49"/>
        <v>-278.92772794642212</v>
      </c>
      <c r="O209" s="189">
        <v>0</v>
      </c>
      <c r="P209" s="189">
        <v>0</v>
      </c>
      <c r="Q209" s="189">
        <v>0</v>
      </c>
      <c r="R209" s="190">
        <f t="shared" si="50"/>
        <v>-278.92772794642212</v>
      </c>
    </row>
    <row r="210" spans="1:18" x14ac:dyDescent="0.25">
      <c r="A210" s="147">
        <v>11</v>
      </c>
      <c r="B210" s="182">
        <f t="shared" si="45"/>
        <v>45231</v>
      </c>
      <c r="C210" s="202">
        <f t="shared" si="58"/>
        <v>45266</v>
      </c>
      <c r="D210" s="202">
        <f t="shared" si="58"/>
        <v>45285</v>
      </c>
      <c r="E210" s="52" t="s">
        <v>17</v>
      </c>
      <c r="F210" s="147">
        <v>9</v>
      </c>
      <c r="G210" s="184">
        <v>104</v>
      </c>
      <c r="H210" s="185">
        <f t="shared" si="46"/>
        <v>6.4194773820210456</v>
      </c>
      <c r="I210" s="185">
        <f t="shared" si="57"/>
        <v>4.0101906396130911</v>
      </c>
      <c r="J210" s="186">
        <f t="shared" si="47"/>
        <v>417.05982651976149</v>
      </c>
      <c r="K210" s="193">
        <f>+$G210*H210</f>
        <v>667.62564773018869</v>
      </c>
      <c r="L210" s="192">
        <f t="shared" si="61"/>
        <v>-250.5658212104272</v>
      </c>
      <c r="M210" s="189">
        <f t="shared" si="48"/>
        <v>-20.541503148711925</v>
      </c>
      <c r="N210" s="190">
        <f t="shared" si="49"/>
        <v>-271.10732435913911</v>
      </c>
      <c r="O210" s="189">
        <v>0</v>
      </c>
      <c r="P210" s="189">
        <v>0</v>
      </c>
      <c r="Q210" s="189">
        <v>0</v>
      </c>
      <c r="R210" s="190">
        <f t="shared" si="50"/>
        <v>-271.10732435913911</v>
      </c>
    </row>
    <row r="211" spans="1:18" s="206" customFormat="1" x14ac:dyDescent="0.25">
      <c r="A211" s="147">
        <v>12</v>
      </c>
      <c r="B211" s="204">
        <f t="shared" si="45"/>
        <v>45261</v>
      </c>
      <c r="C211" s="207">
        <f t="shared" si="58"/>
        <v>45294</v>
      </c>
      <c r="D211" s="207">
        <f t="shared" si="58"/>
        <v>45315</v>
      </c>
      <c r="E211" s="205" t="s">
        <v>17</v>
      </c>
      <c r="F211" s="158">
        <v>9</v>
      </c>
      <c r="G211" s="184">
        <v>101</v>
      </c>
      <c r="H211" s="194">
        <f t="shared" si="46"/>
        <v>6.4194773820210456</v>
      </c>
      <c r="I211" s="194">
        <f t="shared" si="57"/>
        <v>4.0101906396130911</v>
      </c>
      <c r="J211" s="195">
        <f t="shared" si="47"/>
        <v>405.02925460092217</v>
      </c>
      <c r="K211" s="196">
        <f>+$G211*H211</f>
        <v>648.36721558412557</v>
      </c>
      <c r="L211" s="197">
        <f t="shared" si="61"/>
        <v>-243.3379609832034</v>
      </c>
      <c r="M211" s="195">
        <f t="shared" si="48"/>
        <v>-19.948959788652932</v>
      </c>
      <c r="N211" s="190">
        <f t="shared" si="49"/>
        <v>-263.28692077185633</v>
      </c>
      <c r="O211" s="189">
        <v>0</v>
      </c>
      <c r="P211" s="189">
        <v>0</v>
      </c>
      <c r="Q211" s="189">
        <v>0</v>
      </c>
      <c r="R211" s="190">
        <f t="shared" si="50"/>
        <v>-263.28692077185633</v>
      </c>
    </row>
    <row r="212" spans="1:18" x14ac:dyDescent="0.25">
      <c r="G212" s="212">
        <f>SUM(G20:G211)</f>
        <v>102178</v>
      </c>
      <c r="H212" s="49"/>
      <c r="I212" s="49"/>
      <c r="J212" s="49">
        <f>SUM(J20:J211)</f>
        <v>409753.25917438668</v>
      </c>
      <c r="K212" s="49">
        <f>SUM(K20:K211)</f>
        <v>655929.35994014645</v>
      </c>
      <c r="L212" s="49">
        <f>SUM(L20:L211)</f>
        <v>-246176.10076576006</v>
      </c>
      <c r="M212" s="49">
        <f>SUM(M20:M211)</f>
        <v>-20181.631814702738</v>
      </c>
      <c r="N212" s="49"/>
      <c r="O212" s="49"/>
      <c r="P212" s="49">
        <f>SUM(P20:P211)</f>
        <v>0</v>
      </c>
      <c r="Q212" s="49"/>
      <c r="R212" s="213">
        <f>SUM(R20:R211)</f>
        <v>-266357.7325804627</v>
      </c>
    </row>
    <row r="213" spans="1:18" x14ac:dyDescent="0.25">
      <c r="P213" s="49"/>
      <c r="Q213" s="49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46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MjozNC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NDozMS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4BB09F57-0463-4388-ACA3-8D53A088A480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54036A14-BB5C-4B85-AC3A-F01A72FC7A2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Instructions</vt:lpstr>
      <vt:lpstr>Summary</vt:lpstr>
      <vt:lpstr>Pivot</vt:lpstr>
      <vt:lpstr>Transactions</vt:lpstr>
      <vt:lpstr>Transactions!AS1_1999</vt:lpstr>
      <vt:lpstr>Instructions!Print_Area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Allyson L Keaton</cp:lastModifiedBy>
  <cp:lastPrinted>2023-05-24T20:00:04Z</cp:lastPrinted>
  <dcterms:created xsi:type="dcterms:W3CDTF">2009-09-04T18:19:13Z</dcterms:created>
  <dcterms:modified xsi:type="dcterms:W3CDTF">2024-05-24T14:08:15Z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cfa33df9-0e91-4da4-976b-7a0481d29165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LabelHistoryID">
    <vt:lpwstr>{4BB09F57-0463-4388-ACA3-8D53A088A480}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</Properties>
</file>